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60" yWindow="300" windowWidth="9192" windowHeight="8688" activeTab="1"/>
  </bookViews>
  <sheets>
    <sheet name="DL6WU - v3" sheetId="1" r:id="rId1"/>
    <sheet name="DL6WU-2" sheetId="2" r:id="rId2"/>
  </sheets>
  <definedNames>
    <definedName name="_xlnm.Print_Area" localSheetId="1">'DL6WU-2'!$A$78:$F$109</definedName>
  </definedNames>
  <calcPr calcId="125725"/>
</workbook>
</file>

<file path=xl/calcChain.xml><?xml version="1.0" encoding="utf-8"?>
<calcChain xmlns="http://schemas.openxmlformats.org/spreadsheetml/2006/main">
  <c r="D8" i="2"/>
  <c r="F20" s="1"/>
  <c r="C87" s="1"/>
  <c r="D10" a="1"/>
  <c r="D11" s="1"/>
  <c r="D82" s="1"/>
  <c r="M11"/>
  <c r="M12" s="1"/>
  <c r="D13"/>
  <c r="M15"/>
  <c r="T26"/>
  <c r="U26"/>
  <c r="V26"/>
  <c r="W26"/>
  <c r="X26"/>
  <c r="Y26"/>
  <c r="Z26"/>
  <c r="AA26"/>
  <c r="A27"/>
  <c r="T27"/>
  <c r="U27"/>
  <c r="V27"/>
  <c r="W27"/>
  <c r="X27"/>
  <c r="Y27"/>
  <c r="Z27"/>
  <c r="A28"/>
  <c r="T28"/>
  <c r="U28"/>
  <c r="V28"/>
  <c r="W28"/>
  <c r="X28"/>
  <c r="Y28"/>
  <c r="Z28"/>
  <c r="T29"/>
  <c r="U29"/>
  <c r="V29"/>
  <c r="W29"/>
  <c r="X29"/>
  <c r="Y29"/>
  <c r="Z29"/>
  <c r="T30"/>
  <c r="U30"/>
  <c r="V30"/>
  <c r="W30"/>
  <c r="X30"/>
  <c r="Y30"/>
  <c r="Z30"/>
  <c r="T31"/>
  <c r="U31"/>
  <c r="V31"/>
  <c r="W31"/>
  <c r="X31"/>
  <c r="Y31"/>
  <c r="Z31"/>
  <c r="T32"/>
  <c r="U32"/>
  <c r="V32"/>
  <c r="W32"/>
  <c r="X32"/>
  <c r="Y32"/>
  <c r="Z32"/>
  <c r="T33"/>
  <c r="U33"/>
  <c r="V33"/>
  <c r="W33"/>
  <c r="X33"/>
  <c r="Y33"/>
  <c r="Z33"/>
  <c r="T34"/>
  <c r="U34"/>
  <c r="V34"/>
  <c r="W34"/>
  <c r="X34"/>
  <c r="Y34"/>
  <c r="Z34"/>
  <c r="T35"/>
  <c r="U35"/>
  <c r="V35"/>
  <c r="W35"/>
  <c r="X35"/>
  <c r="Y35"/>
  <c r="Z35"/>
  <c r="T36"/>
  <c r="U36"/>
  <c r="V36"/>
  <c r="W36"/>
  <c r="X36"/>
  <c r="Y36"/>
  <c r="Z36"/>
  <c r="T37"/>
  <c r="U37"/>
  <c r="V37"/>
  <c r="W37"/>
  <c r="X37"/>
  <c r="Y37"/>
  <c r="Z37"/>
  <c r="T38"/>
  <c r="U38"/>
  <c r="V38"/>
  <c r="W38"/>
  <c r="X38"/>
  <c r="Y38"/>
  <c r="Z38"/>
  <c r="T39"/>
  <c r="U39"/>
  <c r="V39"/>
  <c r="W39"/>
  <c r="X39"/>
  <c r="Y39"/>
  <c r="Z39"/>
  <c r="T40"/>
  <c r="U40"/>
  <c r="V40"/>
  <c r="W40"/>
  <c r="X40"/>
  <c r="Y40"/>
  <c r="Z40"/>
  <c r="T41"/>
  <c r="U41"/>
  <c r="V41"/>
  <c r="W41"/>
  <c r="X41"/>
  <c r="Y41"/>
  <c r="Z41"/>
  <c r="T42"/>
  <c r="U42"/>
  <c r="V42"/>
  <c r="W42"/>
  <c r="X42"/>
  <c r="Y42"/>
  <c r="Z42"/>
  <c r="T43"/>
  <c r="U43"/>
  <c r="V43"/>
  <c r="W43"/>
  <c r="X43"/>
  <c r="Y43"/>
  <c r="Z43"/>
  <c r="T44"/>
  <c r="U44"/>
  <c r="V44"/>
  <c r="W44"/>
  <c r="X44"/>
  <c r="Y44"/>
  <c r="Z44"/>
  <c r="T45"/>
  <c r="U45"/>
  <c r="V45"/>
  <c r="W45"/>
  <c r="X45"/>
  <c r="Y45"/>
  <c r="Z45"/>
  <c r="T46"/>
  <c r="U46"/>
  <c r="V46"/>
  <c r="W46"/>
  <c r="X46"/>
  <c r="Y46"/>
  <c r="Z46"/>
  <c r="T47"/>
  <c r="U47"/>
  <c r="V47"/>
  <c r="W47"/>
  <c r="X47"/>
  <c r="Y47"/>
  <c r="Z47"/>
  <c r="T48"/>
  <c r="U48"/>
  <c r="V48"/>
  <c r="W48"/>
  <c r="X48"/>
  <c r="Y48"/>
  <c r="Z48"/>
  <c r="T49"/>
  <c r="U49"/>
  <c r="V49"/>
  <c r="W49"/>
  <c r="X49"/>
  <c r="Y49"/>
  <c r="Z49"/>
  <c r="T50"/>
  <c r="U50"/>
  <c r="V50"/>
  <c r="W50"/>
  <c r="X50"/>
  <c r="Y50"/>
  <c r="Z50"/>
  <c r="T51"/>
  <c r="U51"/>
  <c r="V51"/>
  <c r="W51"/>
  <c r="X51"/>
  <c r="Y51"/>
  <c r="Z51"/>
  <c r="T52"/>
  <c r="U52"/>
  <c r="V52"/>
  <c r="W52"/>
  <c r="X52"/>
  <c r="Y52"/>
  <c r="Z52"/>
  <c r="T53"/>
  <c r="U53"/>
  <c r="V53"/>
  <c r="W53"/>
  <c r="X53"/>
  <c r="Y53"/>
  <c r="Z53"/>
  <c r="T54"/>
  <c r="U54"/>
  <c r="V54"/>
  <c r="W54"/>
  <c r="X54"/>
  <c r="Y54"/>
  <c r="Z54"/>
  <c r="T55"/>
  <c r="U55"/>
  <c r="V55"/>
  <c r="W55"/>
  <c r="X55"/>
  <c r="Y55"/>
  <c r="Z55"/>
  <c r="T56"/>
  <c r="U56"/>
  <c r="V56"/>
  <c r="W56"/>
  <c r="X56"/>
  <c r="Y56"/>
  <c r="Z56"/>
  <c r="T57"/>
  <c r="U57"/>
  <c r="V57"/>
  <c r="W57"/>
  <c r="X57"/>
  <c r="Y57"/>
  <c r="Z57"/>
  <c r="T58"/>
  <c r="U58"/>
  <c r="V58"/>
  <c r="W58"/>
  <c r="X58"/>
  <c r="Y58"/>
  <c r="Z58"/>
  <c r="T59"/>
  <c r="U59"/>
  <c r="V59"/>
  <c r="W59"/>
  <c r="X59"/>
  <c r="Y59"/>
  <c r="Z59"/>
  <c r="T60"/>
  <c r="U60"/>
  <c r="V60"/>
  <c r="W60"/>
  <c r="X60"/>
  <c r="Y60"/>
  <c r="Z60"/>
  <c r="T61"/>
  <c r="U61"/>
  <c r="V61"/>
  <c r="W61"/>
  <c r="X61"/>
  <c r="Y61"/>
  <c r="Z61"/>
  <c r="T62"/>
  <c r="U62"/>
  <c r="V62"/>
  <c r="W62"/>
  <c r="X62"/>
  <c r="Y62"/>
  <c r="Z62"/>
  <c r="T63"/>
  <c r="U63"/>
  <c r="V63"/>
  <c r="W63"/>
  <c r="X63"/>
  <c r="Y63"/>
  <c r="Z63"/>
  <c r="T64"/>
  <c r="U64"/>
  <c r="V64"/>
  <c r="W64"/>
  <c r="X64"/>
  <c r="Y64"/>
  <c r="Z64"/>
  <c r="T65"/>
  <c r="U65"/>
  <c r="V65"/>
  <c r="W65"/>
  <c r="X65"/>
  <c r="Y65"/>
  <c r="Z65"/>
  <c r="D84"/>
  <c r="D12" l="1"/>
  <c r="D83" s="1"/>
  <c r="D10"/>
  <c r="D81" s="1"/>
  <c r="D79"/>
  <c r="H20"/>
  <c r="E87" s="1"/>
  <c r="C11" i="1" s="1" a="1"/>
  <c r="D9" i="2"/>
  <c r="E10" s="1"/>
  <c r="E12" s="1"/>
  <c r="D15" s="1"/>
  <c r="D8" i="1" s="1"/>
  <c r="A29" i="2"/>
  <c r="M16"/>
  <c r="E11" l="1"/>
  <c r="F11" i="1"/>
  <c r="E11"/>
  <c r="D11"/>
  <c r="C11"/>
  <c r="F16" i="2"/>
  <c r="B29" s="1"/>
  <c r="E16"/>
  <c r="D19"/>
  <c r="C92" s="1"/>
  <c r="C32"/>
  <c r="C40"/>
  <c r="C48"/>
  <c r="C56"/>
  <c r="C64"/>
  <c r="C31"/>
  <c r="C39"/>
  <c r="M9"/>
  <c r="C28"/>
  <c r="C36"/>
  <c r="C44"/>
  <c r="C52"/>
  <c r="C60"/>
  <c r="C27"/>
  <c r="C35"/>
  <c r="C43"/>
  <c r="D2" i="1"/>
  <c r="C42" i="2"/>
  <c r="C46"/>
  <c r="C49"/>
  <c r="C55"/>
  <c r="D80"/>
  <c r="C30"/>
  <c r="C53"/>
  <c r="C62"/>
  <c r="C65"/>
  <c r="C69"/>
  <c r="C71"/>
  <c r="C73"/>
  <c r="C75"/>
  <c r="C29"/>
  <c r="C33"/>
  <c r="C34"/>
  <c r="C41"/>
  <c r="C45"/>
  <c r="C51"/>
  <c r="C58"/>
  <c r="C67"/>
  <c r="C26"/>
  <c r="D26" s="1"/>
  <c r="C47"/>
  <c r="C54"/>
  <c r="C61"/>
  <c r="C50"/>
  <c r="C59"/>
  <c r="C57"/>
  <c r="C63"/>
  <c r="C66"/>
  <c r="C74"/>
  <c r="C68"/>
  <c r="C70"/>
  <c r="C37"/>
  <c r="C38"/>
  <c r="C72"/>
  <c r="M17"/>
  <c r="N16"/>
  <c r="P16" s="1"/>
  <c r="Q16" s="1"/>
  <c r="A30"/>
  <c r="R26" l="1"/>
  <c r="D27"/>
  <c r="E26"/>
  <c r="B30"/>
  <c r="A31"/>
  <c r="B26"/>
  <c r="B27"/>
  <c r="G16"/>
  <c r="H16" s="1"/>
  <c r="B28"/>
  <c r="N10"/>
  <c r="P10" s="1"/>
  <c r="Q10" s="1"/>
  <c r="N11"/>
  <c r="P11" s="1"/>
  <c r="Q11" s="1"/>
  <c r="N12"/>
  <c r="P12" s="1"/>
  <c r="Q12" s="1"/>
  <c r="N15"/>
  <c r="P15" s="1"/>
  <c r="Q15" s="1"/>
  <c r="N17"/>
  <c r="P17" s="1"/>
  <c r="Q17" s="1"/>
  <c r="M18"/>
  <c r="C93"/>
  <c r="C94" s="1"/>
  <c r="C95" s="1"/>
  <c r="C96" s="1"/>
  <c r="C97" s="1"/>
  <c r="C98" s="1"/>
  <c r="C99" s="1"/>
  <c r="C100" s="1"/>
  <c r="C101" s="1"/>
  <c r="C102" s="1"/>
  <c r="C103" s="1"/>
  <c r="C104" s="1"/>
  <c r="C105" s="1"/>
  <c r="C106" s="1"/>
  <c r="C107" s="1"/>
  <c r="C108" s="1"/>
  <c r="C109" s="1"/>
  <c r="C110" s="1"/>
  <c r="C111" s="1"/>
  <c r="C112" s="1"/>
  <c r="C113" s="1"/>
  <c r="C114" s="1"/>
  <c r="C115" s="1"/>
  <c r="C116" s="1"/>
  <c r="C117" s="1"/>
  <c r="C118" s="1"/>
  <c r="C119" s="1"/>
  <c r="C120" s="1"/>
  <c r="C121" s="1"/>
  <c r="C122" s="1"/>
  <c r="C123" s="1"/>
  <c r="C124" s="1"/>
  <c r="C125" s="1"/>
  <c r="C126" s="1"/>
  <c r="C127" s="1"/>
  <c r="C128" s="1"/>
  <c r="C129" s="1"/>
  <c r="C130" s="1"/>
  <c r="C131" s="1"/>
  <c r="C132" s="1"/>
  <c r="C133" s="1"/>
  <c r="C134" s="1"/>
  <c r="C135" s="1"/>
  <c r="C136" s="1"/>
  <c r="C137" s="1"/>
  <c r="C138" s="1"/>
  <c r="C139" s="1"/>
  <c r="C140" s="1"/>
  <c r="C141" s="1"/>
  <c r="C142" s="1"/>
  <c r="J29"/>
  <c r="D96" s="1"/>
  <c r="S29"/>
  <c r="B96"/>
  <c r="M19" l="1"/>
  <c r="N18"/>
  <c r="P18" s="1"/>
  <c r="Q18" s="1"/>
  <c r="J27"/>
  <c r="D94" s="1"/>
  <c r="S27"/>
  <c r="B94"/>
  <c r="D28"/>
  <c r="E27"/>
  <c r="R27"/>
  <c r="D18"/>
  <c r="B91" s="1"/>
  <c r="D20"/>
  <c r="B92" s="1"/>
  <c r="D92" s="1"/>
  <c r="F26"/>
  <c r="G26" s="1"/>
  <c r="B31"/>
  <c r="A32"/>
  <c r="J26"/>
  <c r="D93" s="1"/>
  <c r="S26"/>
  <c r="B93"/>
  <c r="B95"/>
  <c r="J28"/>
  <c r="D95" s="1"/>
  <c r="S28"/>
  <c r="J30"/>
  <c r="D97" s="1"/>
  <c r="S30"/>
  <c r="B97"/>
  <c r="H26" l="1"/>
  <c r="P26"/>
  <c r="Q26" s="1"/>
  <c r="L26" s="1"/>
  <c r="M26"/>
  <c r="N26"/>
  <c r="O26" s="1"/>
  <c r="I26" s="1"/>
  <c r="D29"/>
  <c r="R28"/>
  <c r="E28"/>
  <c r="J31"/>
  <c r="D98" s="1"/>
  <c r="B98"/>
  <c r="S31"/>
  <c r="F27"/>
  <c r="G27" s="1"/>
  <c r="M20"/>
  <c r="N19"/>
  <c r="P19" s="1"/>
  <c r="Q19" s="1"/>
  <c r="B32"/>
  <c r="A33"/>
  <c r="D91"/>
  <c r="B33" l="1"/>
  <c r="A34"/>
  <c r="H27"/>
  <c r="P27"/>
  <c r="Q27" s="1"/>
  <c r="L27" s="1"/>
  <c r="N27"/>
  <c r="O27" s="1"/>
  <c r="I27" s="1"/>
  <c r="M27"/>
  <c r="F28"/>
  <c r="G28" s="1"/>
  <c r="M21"/>
  <c r="N21" s="1"/>
  <c r="P21" s="1"/>
  <c r="Q21" s="1"/>
  <c r="N20"/>
  <c r="P20" s="1"/>
  <c r="Q20" s="1"/>
  <c r="B99"/>
  <c r="J32"/>
  <c r="D99" s="1"/>
  <c r="S32"/>
  <c r="E29"/>
  <c r="D30"/>
  <c r="R29"/>
  <c r="J33" l="1"/>
  <c r="D100" s="1"/>
  <c r="S33"/>
  <c r="B100"/>
  <c r="B34"/>
  <c r="A35"/>
  <c r="E30"/>
  <c r="D31"/>
  <c r="R30"/>
  <c r="F29"/>
  <c r="G29" s="1"/>
  <c r="H28"/>
  <c r="M28"/>
  <c r="N28"/>
  <c r="O28" s="1"/>
  <c r="I28" s="1"/>
  <c r="P28"/>
  <c r="Q28" s="1"/>
  <c r="L28" s="1"/>
  <c r="J34" l="1"/>
  <c r="D101" s="1"/>
  <c r="S34"/>
  <c r="B101"/>
  <c r="F30"/>
  <c r="G30" s="1"/>
  <c r="H29"/>
  <c r="P29"/>
  <c r="Q29" s="1"/>
  <c r="L29" s="1"/>
  <c r="M29"/>
  <c r="N29"/>
  <c r="O29" s="1"/>
  <c r="I29" s="1"/>
  <c r="A36"/>
  <c r="B35"/>
  <c r="D32"/>
  <c r="E31"/>
  <c r="R31"/>
  <c r="H30" l="1"/>
  <c r="N30"/>
  <c r="O30" s="1"/>
  <c r="I30" s="1"/>
  <c r="P30"/>
  <c r="Q30" s="1"/>
  <c r="L30" s="1"/>
  <c r="M30"/>
  <c r="B36"/>
  <c r="A37"/>
  <c r="D33"/>
  <c r="R32"/>
  <c r="E32"/>
  <c r="J35"/>
  <c r="D102" s="1"/>
  <c r="B102"/>
  <c r="S35"/>
  <c r="F31"/>
  <c r="G31" s="1"/>
  <c r="H31" l="1"/>
  <c r="N31"/>
  <c r="O31" s="1"/>
  <c r="I31" s="1"/>
  <c r="P31"/>
  <c r="Q31" s="1"/>
  <c r="L31" s="1"/>
  <c r="M31"/>
  <c r="F32"/>
  <c r="G32" s="1"/>
  <c r="B103"/>
  <c r="J36"/>
  <c r="D103" s="1"/>
  <c r="S36"/>
  <c r="B37"/>
  <c r="A38"/>
  <c r="R33"/>
  <c r="E33"/>
  <c r="D34"/>
  <c r="F33" l="1"/>
  <c r="G33" s="1"/>
  <c r="J37"/>
  <c r="D104" s="1"/>
  <c r="S37"/>
  <c r="B104"/>
  <c r="B38"/>
  <c r="A39"/>
  <c r="H32"/>
  <c r="P32"/>
  <c r="Q32" s="1"/>
  <c r="L32" s="1"/>
  <c r="M32"/>
  <c r="N32"/>
  <c r="O32" s="1"/>
  <c r="I32" s="1"/>
  <c r="R34"/>
  <c r="E34"/>
  <c r="D35"/>
  <c r="H33" l="1"/>
  <c r="N33"/>
  <c r="O33" s="1"/>
  <c r="I33" s="1"/>
  <c r="P33"/>
  <c r="Q33" s="1"/>
  <c r="L33" s="1"/>
  <c r="M33"/>
  <c r="B105"/>
  <c r="J38"/>
  <c r="D105" s="1"/>
  <c r="S38"/>
  <c r="F34"/>
  <c r="G34" s="1"/>
  <c r="E35"/>
  <c r="D36"/>
  <c r="R35"/>
  <c r="A40"/>
  <c r="B39"/>
  <c r="H34" l="1"/>
  <c r="N34"/>
  <c r="O34" s="1"/>
  <c r="I34" s="1"/>
  <c r="P34"/>
  <c r="Q34" s="1"/>
  <c r="L34" s="1"/>
  <c r="M34"/>
  <c r="R36"/>
  <c r="D37"/>
  <c r="E36"/>
  <c r="B40"/>
  <c r="A41"/>
  <c r="F35"/>
  <c r="G35" s="1"/>
  <c r="J39"/>
  <c r="D106" s="1"/>
  <c r="B106"/>
  <c r="S39"/>
  <c r="B107" l="1"/>
  <c r="J40"/>
  <c r="D107" s="1"/>
  <c r="S40"/>
  <c r="H35"/>
  <c r="N35"/>
  <c r="O35" s="1"/>
  <c r="I35" s="1"/>
  <c r="M35"/>
  <c r="P35"/>
  <c r="Q35" s="1"/>
  <c r="L35" s="1"/>
  <c r="E37"/>
  <c r="D38"/>
  <c r="R37"/>
  <c r="B41"/>
  <c r="A42"/>
  <c r="F36"/>
  <c r="G36" s="1"/>
  <c r="J41" l="1"/>
  <c r="D108" s="1"/>
  <c r="S41"/>
  <c r="B108"/>
  <c r="B42"/>
  <c r="A43"/>
  <c r="E38"/>
  <c r="D39"/>
  <c r="R38"/>
  <c r="H36"/>
  <c r="P36"/>
  <c r="Q36" s="1"/>
  <c r="L36" s="1"/>
  <c r="M36"/>
  <c r="N36"/>
  <c r="O36" s="1"/>
  <c r="I36" s="1"/>
  <c r="F37"/>
  <c r="G37" s="1"/>
  <c r="F38" l="1"/>
  <c r="G38" s="1"/>
  <c r="B109"/>
  <c r="S42"/>
  <c r="J42"/>
  <c r="D109" s="1"/>
  <c r="B43"/>
  <c r="A44"/>
  <c r="H37"/>
  <c r="P37"/>
  <c r="Q37" s="1"/>
  <c r="L37" s="1"/>
  <c r="M37"/>
  <c r="N37"/>
  <c r="O37" s="1"/>
  <c r="I37" s="1"/>
  <c r="D40"/>
  <c r="E39"/>
  <c r="R39"/>
  <c r="H38" l="1"/>
  <c r="P38"/>
  <c r="Q38" s="1"/>
  <c r="L38" s="1"/>
  <c r="M38"/>
  <c r="N38"/>
  <c r="O38" s="1"/>
  <c r="I38" s="1"/>
  <c r="B110"/>
  <c r="J43"/>
  <c r="D110" s="1"/>
  <c r="S43"/>
  <c r="D41"/>
  <c r="E40"/>
  <c r="R40"/>
  <c r="F39"/>
  <c r="G39" s="1"/>
  <c r="B44"/>
  <c r="A45"/>
  <c r="B111" l="1"/>
  <c r="J44"/>
  <c r="D111" s="1"/>
  <c r="S44"/>
  <c r="B45"/>
  <c r="A46"/>
  <c r="E41"/>
  <c r="D42"/>
  <c r="R41"/>
  <c r="F40"/>
  <c r="G40" s="1"/>
  <c r="H39"/>
  <c r="P39"/>
  <c r="Q39" s="1"/>
  <c r="L39" s="1"/>
  <c r="M39"/>
  <c r="N39"/>
  <c r="O39" s="1"/>
  <c r="I39" s="1"/>
  <c r="H40" l="1"/>
  <c r="P40"/>
  <c r="Q40" s="1"/>
  <c r="L40" s="1"/>
  <c r="N40"/>
  <c r="O40" s="1"/>
  <c r="I40" s="1"/>
  <c r="M40"/>
  <c r="B46"/>
  <c r="A47"/>
  <c r="J45"/>
  <c r="D112" s="1"/>
  <c r="S45"/>
  <c r="B112"/>
  <c r="F41"/>
  <c r="G41" s="1"/>
  <c r="R42"/>
  <c r="E42"/>
  <c r="D43"/>
  <c r="F42" l="1"/>
  <c r="G42" s="1"/>
  <c r="H41"/>
  <c r="P41"/>
  <c r="Q41" s="1"/>
  <c r="L41" s="1"/>
  <c r="N41"/>
  <c r="O41" s="1"/>
  <c r="I41" s="1"/>
  <c r="M41"/>
  <c r="B113"/>
  <c r="S46"/>
  <c r="J46"/>
  <c r="D113" s="1"/>
  <c r="B47"/>
  <c r="A48"/>
  <c r="D44"/>
  <c r="E43"/>
  <c r="R43"/>
  <c r="B48" l="1"/>
  <c r="A49"/>
  <c r="H42"/>
  <c r="N42"/>
  <c r="O42" s="1"/>
  <c r="I42" s="1"/>
  <c r="P42"/>
  <c r="Q42" s="1"/>
  <c r="L42" s="1"/>
  <c r="M42"/>
  <c r="J47"/>
  <c r="D114" s="1"/>
  <c r="S47"/>
  <c r="B114"/>
  <c r="D45"/>
  <c r="E44"/>
  <c r="R44"/>
  <c r="F43"/>
  <c r="G43" s="1"/>
  <c r="B115" l="1"/>
  <c r="S48"/>
  <c r="J48"/>
  <c r="D115" s="1"/>
  <c r="B49"/>
  <c r="A50"/>
  <c r="H43"/>
  <c r="M43"/>
  <c r="P43"/>
  <c r="Q43" s="1"/>
  <c r="L43" s="1"/>
  <c r="N43"/>
  <c r="O43" s="1"/>
  <c r="I43" s="1"/>
  <c r="F44"/>
  <c r="G44" s="1"/>
  <c r="R45"/>
  <c r="E45"/>
  <c r="D46"/>
  <c r="H44" l="1"/>
  <c r="M44"/>
  <c r="P44"/>
  <c r="Q44" s="1"/>
  <c r="L44" s="1"/>
  <c r="N44"/>
  <c r="O44" s="1"/>
  <c r="I44" s="1"/>
  <c r="F45"/>
  <c r="G45" s="1"/>
  <c r="E46"/>
  <c r="D47"/>
  <c r="R46"/>
  <c r="J49"/>
  <c r="D116" s="1"/>
  <c r="S49"/>
  <c r="B116"/>
  <c r="B50"/>
  <c r="A51"/>
  <c r="B117" l="1"/>
  <c r="J50"/>
  <c r="D117" s="1"/>
  <c r="S50"/>
  <c r="D48"/>
  <c r="R47"/>
  <c r="E47"/>
  <c r="H45"/>
  <c r="P45"/>
  <c r="Q45" s="1"/>
  <c r="L45" s="1"/>
  <c r="N45"/>
  <c r="O45" s="1"/>
  <c r="I45" s="1"/>
  <c r="M45"/>
  <c r="B51"/>
  <c r="A52"/>
  <c r="F46"/>
  <c r="G46" s="1"/>
  <c r="F47" l="1"/>
  <c r="G47" s="1"/>
  <c r="H46"/>
  <c r="M46"/>
  <c r="P46"/>
  <c r="Q46" s="1"/>
  <c r="L46" s="1"/>
  <c r="N46"/>
  <c r="O46" s="1"/>
  <c r="I46" s="1"/>
  <c r="J51"/>
  <c r="D118" s="1"/>
  <c r="B118"/>
  <c r="S51"/>
  <c r="E48"/>
  <c r="R48"/>
  <c r="D49"/>
  <c r="A53"/>
  <c r="B52"/>
  <c r="H47" l="1"/>
  <c r="N47"/>
  <c r="O47" s="1"/>
  <c r="I47" s="1"/>
  <c r="P47"/>
  <c r="Q47" s="1"/>
  <c r="L47" s="1"/>
  <c r="M47"/>
  <c r="B119"/>
  <c r="J52"/>
  <c r="D119" s="1"/>
  <c r="S52"/>
  <c r="B53"/>
  <c r="A54"/>
  <c r="F48"/>
  <c r="G48" s="1"/>
  <c r="E49"/>
  <c r="D50"/>
  <c r="R49"/>
  <c r="A55" l="1"/>
  <c r="B54"/>
  <c r="H48"/>
  <c r="N48"/>
  <c r="O48" s="1"/>
  <c r="I48" s="1"/>
  <c r="P48"/>
  <c r="Q48" s="1"/>
  <c r="L48" s="1"/>
  <c r="M48"/>
  <c r="F49"/>
  <c r="G49" s="1"/>
  <c r="R50"/>
  <c r="E50"/>
  <c r="D51"/>
  <c r="D14"/>
  <c r="J53"/>
  <c r="D120" s="1"/>
  <c r="S53"/>
  <c r="B120"/>
  <c r="B55" l="1"/>
  <c r="A56"/>
  <c r="J54"/>
  <c r="D121" s="1"/>
  <c r="S54"/>
  <c r="B121"/>
  <c r="F50"/>
  <c r="G50" s="1"/>
  <c r="R51"/>
  <c r="E51"/>
  <c r="D52"/>
  <c r="H49"/>
  <c r="P49"/>
  <c r="Q49" s="1"/>
  <c r="L49" s="1"/>
  <c r="N49"/>
  <c r="O49" s="1"/>
  <c r="I49" s="1"/>
  <c r="M49"/>
  <c r="D7" i="1"/>
  <c r="D85" i="2"/>
  <c r="A57" l="1"/>
  <c r="B56"/>
  <c r="D53"/>
  <c r="R52"/>
  <c r="S15"/>
  <c r="E52"/>
  <c r="J55"/>
  <c r="D122" s="1"/>
  <c r="S55"/>
  <c r="B122"/>
  <c r="F51"/>
  <c r="G51" s="1"/>
  <c r="H50"/>
  <c r="P50"/>
  <c r="Q50" s="1"/>
  <c r="L50" s="1"/>
  <c r="M50"/>
  <c r="N50"/>
  <c r="O50" s="1"/>
  <c r="I50" s="1"/>
  <c r="F52" l="1"/>
  <c r="G52" s="1"/>
  <c r="B123"/>
  <c r="S56"/>
  <c r="J56"/>
  <c r="D123" s="1"/>
  <c r="R53"/>
  <c r="E53"/>
  <c r="D54"/>
  <c r="B57"/>
  <c r="A58"/>
  <c r="H51"/>
  <c r="N51"/>
  <c r="O51" s="1"/>
  <c r="I51" s="1"/>
  <c r="P51"/>
  <c r="Q51" s="1"/>
  <c r="L51" s="1"/>
  <c r="M51"/>
  <c r="J57" l="1"/>
  <c r="D124" s="1"/>
  <c r="S57"/>
  <c r="B124"/>
  <c r="A59"/>
  <c r="B58"/>
  <c r="F53"/>
  <c r="G53" s="1"/>
  <c r="E54"/>
  <c r="D55"/>
  <c r="R54"/>
  <c r="H52"/>
  <c r="M52"/>
  <c r="N52"/>
  <c r="O52" s="1"/>
  <c r="I52" s="1"/>
  <c r="P52"/>
  <c r="Q52" s="1"/>
  <c r="L52" s="1"/>
  <c r="F54" l="1"/>
  <c r="G54" s="1"/>
  <c r="A60"/>
  <c r="B59"/>
  <c r="H53"/>
  <c r="N53"/>
  <c r="O53" s="1"/>
  <c r="I53" s="1"/>
  <c r="P53"/>
  <c r="Q53" s="1"/>
  <c r="L53" s="1"/>
  <c r="M53"/>
  <c r="D56"/>
  <c r="R55"/>
  <c r="E55"/>
  <c r="S58"/>
  <c r="J58"/>
  <c r="D125" s="1"/>
  <c r="B125"/>
  <c r="B60" l="1"/>
  <c r="A61"/>
  <c r="J59"/>
  <c r="D126" s="1"/>
  <c r="S59"/>
  <c r="B126"/>
  <c r="H54"/>
  <c r="P54"/>
  <c r="Q54" s="1"/>
  <c r="L54" s="1"/>
  <c r="M54"/>
  <c r="N54"/>
  <c r="O54" s="1"/>
  <c r="I54" s="1"/>
  <c r="R56"/>
  <c r="E56"/>
  <c r="D57"/>
  <c r="F55"/>
  <c r="G55" s="1"/>
  <c r="H55" l="1"/>
  <c r="N55"/>
  <c r="O55" s="1"/>
  <c r="I55" s="1"/>
  <c r="P55"/>
  <c r="Q55" s="1"/>
  <c r="L55" s="1"/>
  <c r="M55"/>
  <c r="B127"/>
  <c r="S60"/>
  <c r="J60"/>
  <c r="D127" s="1"/>
  <c r="B61"/>
  <c r="A62"/>
  <c r="F56"/>
  <c r="G56" s="1"/>
  <c r="D58"/>
  <c r="E57"/>
  <c r="R57"/>
  <c r="H56" l="1"/>
  <c r="N56"/>
  <c r="O56" s="1"/>
  <c r="I56" s="1"/>
  <c r="P56"/>
  <c r="Q56" s="1"/>
  <c r="L56" s="1"/>
  <c r="M56"/>
  <c r="B62"/>
  <c r="A63"/>
  <c r="F57"/>
  <c r="G57" s="1"/>
  <c r="R58"/>
  <c r="E58"/>
  <c r="D59"/>
  <c r="J61"/>
  <c r="D128" s="1"/>
  <c r="S61"/>
  <c r="B128"/>
  <c r="D60" l="1"/>
  <c r="E59"/>
  <c r="R59"/>
  <c r="A64"/>
  <c r="B63"/>
  <c r="F58"/>
  <c r="G58" s="1"/>
  <c r="H57"/>
  <c r="P57"/>
  <c r="Q57" s="1"/>
  <c r="L57" s="1"/>
  <c r="M57"/>
  <c r="N57"/>
  <c r="O57" s="1"/>
  <c r="I57" s="1"/>
  <c r="B129"/>
  <c r="S62"/>
  <c r="J62"/>
  <c r="D129" s="1"/>
  <c r="E60" l="1"/>
  <c r="R60"/>
  <c r="D61"/>
  <c r="F59"/>
  <c r="G59" s="1"/>
  <c r="B64"/>
  <c r="A65"/>
  <c r="H58"/>
  <c r="M58"/>
  <c r="P58"/>
  <c r="Q58" s="1"/>
  <c r="L58" s="1"/>
  <c r="N58"/>
  <c r="O58" s="1"/>
  <c r="I58" s="1"/>
  <c r="S63"/>
  <c r="B130"/>
  <c r="J63"/>
  <c r="D130" s="1"/>
  <c r="F60" l="1"/>
  <c r="G60" s="1"/>
  <c r="D62"/>
  <c r="E61"/>
  <c r="R61"/>
  <c r="H59"/>
  <c r="P59"/>
  <c r="Q59" s="1"/>
  <c r="L59" s="1"/>
  <c r="M59"/>
  <c r="N59"/>
  <c r="O59" s="1"/>
  <c r="I59" s="1"/>
  <c r="B131"/>
  <c r="J64"/>
  <c r="D131" s="1"/>
  <c r="S64"/>
  <c r="B65"/>
  <c r="A66"/>
  <c r="E62" l="1"/>
  <c r="D63"/>
  <c r="R62"/>
  <c r="H60"/>
  <c r="N60"/>
  <c r="O60" s="1"/>
  <c r="I60" s="1"/>
  <c r="P60"/>
  <c r="Q60" s="1"/>
  <c r="L60" s="1"/>
  <c r="M60"/>
  <c r="J65"/>
  <c r="D132" s="1"/>
  <c r="S65"/>
  <c r="B132"/>
  <c r="A67"/>
  <c r="B66"/>
  <c r="F61"/>
  <c r="G61" s="1"/>
  <c r="A68" l="1"/>
  <c r="B67"/>
  <c r="F62"/>
  <c r="G62" s="1"/>
  <c r="J66"/>
  <c r="D133" s="1"/>
  <c r="B133"/>
  <c r="R63"/>
  <c r="E63"/>
  <c r="D64"/>
  <c r="H61"/>
  <c r="M61"/>
  <c r="N61"/>
  <c r="O61" s="1"/>
  <c r="I61" s="1"/>
  <c r="P61"/>
  <c r="Q61" s="1"/>
  <c r="L61" s="1"/>
  <c r="B134" l="1"/>
  <c r="J67"/>
  <c r="D134" s="1"/>
  <c r="A69"/>
  <c r="B68"/>
  <c r="F63"/>
  <c r="G63" s="1"/>
  <c r="D65"/>
  <c r="R64"/>
  <c r="E64"/>
  <c r="H62"/>
  <c r="P62"/>
  <c r="Q62" s="1"/>
  <c r="L62" s="1"/>
  <c r="N62"/>
  <c r="O62" s="1"/>
  <c r="I62" s="1"/>
  <c r="M62"/>
  <c r="R65" l="1"/>
  <c r="E65"/>
  <c r="D66"/>
  <c r="F64"/>
  <c r="G64" s="1"/>
  <c r="B135"/>
  <c r="J68"/>
  <c r="D135" s="1"/>
  <c r="A70"/>
  <c r="B69"/>
  <c r="H63"/>
  <c r="M63"/>
  <c r="P63"/>
  <c r="Q63" s="1"/>
  <c r="L63" s="1"/>
  <c r="N63"/>
  <c r="O63" s="1"/>
  <c r="I63" s="1"/>
  <c r="F65" l="1"/>
  <c r="G65" s="1"/>
  <c r="B136"/>
  <c r="J69"/>
  <c r="D136" s="1"/>
  <c r="H64"/>
  <c r="P64"/>
  <c r="Q64" s="1"/>
  <c r="L64" s="1"/>
  <c r="N64"/>
  <c r="O64" s="1"/>
  <c r="I64" s="1"/>
  <c r="M64"/>
  <c r="A71"/>
  <c r="B70"/>
  <c r="E66"/>
  <c r="D67"/>
  <c r="J70" l="1"/>
  <c r="D137" s="1"/>
  <c r="B137"/>
  <c r="H65"/>
  <c r="P65"/>
  <c r="Q65" s="1"/>
  <c r="L65" s="1"/>
  <c r="N65"/>
  <c r="O65" s="1"/>
  <c r="I65" s="1"/>
  <c r="M65"/>
  <c r="A72"/>
  <c r="B71"/>
  <c r="F66"/>
  <c r="G66" s="1"/>
  <c r="E67"/>
  <c r="D68"/>
  <c r="F67" l="1"/>
  <c r="G67" s="1"/>
  <c r="E68"/>
  <c r="D69"/>
  <c r="A73"/>
  <c r="B72"/>
  <c r="H66"/>
  <c r="P66"/>
  <c r="Q66" s="1"/>
  <c r="L66" s="1"/>
  <c r="M66"/>
  <c r="N66"/>
  <c r="O66" s="1"/>
  <c r="I66" s="1"/>
  <c r="B138"/>
  <c r="J71"/>
  <c r="D138" s="1"/>
  <c r="H67" l="1"/>
  <c r="M67"/>
  <c r="P67"/>
  <c r="Q67" s="1"/>
  <c r="L67" s="1"/>
  <c r="N67"/>
  <c r="O67" s="1"/>
  <c r="I67" s="1"/>
  <c r="A74"/>
  <c r="B73"/>
  <c r="E69"/>
  <c r="D70"/>
  <c r="B139"/>
  <c r="J72"/>
  <c r="D139" s="1"/>
  <c r="F68"/>
  <c r="G68" s="1"/>
  <c r="J73" l="1"/>
  <c r="D140" s="1"/>
  <c r="B140"/>
  <c r="A75"/>
  <c r="B75" s="1"/>
  <c r="B74"/>
  <c r="F69"/>
  <c r="G69" s="1"/>
  <c r="E70"/>
  <c r="D71"/>
  <c r="H68"/>
  <c r="P68"/>
  <c r="Q68" s="1"/>
  <c r="L68" s="1"/>
  <c r="M68"/>
  <c r="N68"/>
  <c r="O68" s="1"/>
  <c r="I68" s="1"/>
  <c r="E71" l="1"/>
  <c r="D72"/>
  <c r="H69"/>
  <c r="N69"/>
  <c r="O69" s="1"/>
  <c r="I69" s="1"/>
  <c r="M69"/>
  <c r="P69"/>
  <c r="Q69" s="1"/>
  <c r="L69" s="1"/>
  <c r="B141"/>
  <c r="J74"/>
  <c r="D141" s="1"/>
  <c r="B142"/>
  <c r="J75"/>
  <c r="D142" s="1"/>
  <c r="A13" i="1" s="1" a="1"/>
  <c r="F70" i="2"/>
  <c r="G70" s="1"/>
  <c r="F71" l="1"/>
  <c r="G71" s="1"/>
  <c r="C14" i="1"/>
  <c r="C16"/>
  <c r="C18"/>
  <c r="C20"/>
  <c r="C22"/>
  <c r="C24"/>
  <c r="C26"/>
  <c r="C28"/>
  <c r="C30"/>
  <c r="C32"/>
  <c r="C34"/>
  <c r="C36"/>
  <c r="C38"/>
  <c r="C40"/>
  <c r="C42"/>
  <c r="C44"/>
  <c r="C46"/>
  <c r="C48"/>
  <c r="C50"/>
  <c r="C52"/>
  <c r="C54"/>
  <c r="C56"/>
  <c r="C58"/>
  <c r="C60"/>
  <c r="C62"/>
  <c r="C64"/>
  <c r="C66"/>
  <c r="B14"/>
  <c r="B16"/>
  <c r="B18"/>
  <c r="B20"/>
  <c r="B22"/>
  <c r="B24"/>
  <c r="B26"/>
  <c r="B28"/>
  <c r="B30"/>
  <c r="B32"/>
  <c r="B34"/>
  <c r="B36"/>
  <c r="B38"/>
  <c r="B40"/>
  <c r="B42"/>
  <c r="B44"/>
  <c r="B46"/>
  <c r="B48"/>
  <c r="B50"/>
  <c r="B52"/>
  <c r="B54"/>
  <c r="B56"/>
  <c r="B58"/>
  <c r="B60"/>
  <c r="B62"/>
  <c r="B64"/>
  <c r="B66"/>
  <c r="A14"/>
  <c r="A16"/>
  <c r="A18"/>
  <c r="A20"/>
  <c r="A22"/>
  <c r="A24"/>
  <c r="A26"/>
  <c r="A28"/>
  <c r="A30"/>
  <c r="A32"/>
  <c r="A34"/>
  <c r="A36"/>
  <c r="A38"/>
  <c r="A40"/>
  <c r="A42"/>
  <c r="A44"/>
  <c r="A46"/>
  <c r="A48"/>
  <c r="A50"/>
  <c r="A52"/>
  <c r="A54"/>
  <c r="A56"/>
  <c r="A58"/>
  <c r="A60"/>
  <c r="A62"/>
  <c r="A64"/>
  <c r="A66"/>
  <c r="C13"/>
  <c r="C15"/>
  <c r="C17"/>
  <c r="C19"/>
  <c r="C21"/>
  <c r="C23"/>
  <c r="C25"/>
  <c r="C27"/>
  <c r="C29"/>
  <c r="C31"/>
  <c r="C33"/>
  <c r="C35"/>
  <c r="C37"/>
  <c r="C39"/>
  <c r="C41"/>
  <c r="C43"/>
  <c r="C45"/>
  <c r="C47"/>
  <c r="C49"/>
  <c r="C51"/>
  <c r="C53"/>
  <c r="C55"/>
  <c r="C57"/>
  <c r="C59"/>
  <c r="C61"/>
  <c r="C63"/>
  <c r="C65"/>
  <c r="B13"/>
  <c r="B15"/>
  <c r="B17"/>
  <c r="B19"/>
  <c r="B21"/>
  <c r="B23"/>
  <c r="B25"/>
  <c r="B27"/>
  <c r="B29"/>
  <c r="B31"/>
  <c r="B33"/>
  <c r="B35"/>
  <c r="B37"/>
  <c r="B39"/>
  <c r="B41"/>
  <c r="B43"/>
  <c r="B45"/>
  <c r="B47"/>
  <c r="B49"/>
  <c r="B51"/>
  <c r="B53"/>
  <c r="B55"/>
  <c r="B57"/>
  <c r="B59"/>
  <c r="B61"/>
  <c r="B63"/>
  <c r="B65"/>
  <c r="A17"/>
  <c r="D22"/>
  <c r="D27"/>
  <c r="A33"/>
  <c r="D38"/>
  <c r="D43"/>
  <c r="A49"/>
  <c r="D54"/>
  <c r="D59"/>
  <c r="A65"/>
  <c r="A15"/>
  <c r="D41"/>
  <c r="A63"/>
  <c r="D14"/>
  <c r="D35"/>
  <c r="D51"/>
  <c r="D62"/>
  <c r="D16"/>
  <c r="D21"/>
  <c r="A27"/>
  <c r="D32"/>
  <c r="D37"/>
  <c r="A43"/>
  <c r="D48"/>
  <c r="D53"/>
  <c r="A59"/>
  <c r="D64"/>
  <c r="D25"/>
  <c r="A31"/>
  <c r="A47"/>
  <c r="D57"/>
  <c r="D19"/>
  <c r="D30"/>
  <c r="A41"/>
  <c r="D46"/>
  <c r="A57"/>
  <c r="D15"/>
  <c r="A21"/>
  <c r="D26"/>
  <c r="D31"/>
  <c r="A37"/>
  <c r="D42"/>
  <c r="D47"/>
  <c r="A53"/>
  <c r="D58"/>
  <c r="D63"/>
  <c r="D20"/>
  <c r="D36"/>
  <c r="D52"/>
  <c r="A25"/>
  <c r="D13"/>
  <c r="A19"/>
  <c r="D24"/>
  <c r="D29"/>
  <c r="A35"/>
  <c r="D40"/>
  <c r="D45"/>
  <c r="A51"/>
  <c r="D56"/>
  <c r="D61"/>
  <c r="D18"/>
  <c r="D23"/>
  <c r="A29"/>
  <c r="D34"/>
  <c r="D39"/>
  <c r="A45"/>
  <c r="D50"/>
  <c r="D55"/>
  <c r="A61"/>
  <c r="D66"/>
  <c r="A13"/>
  <c r="D17"/>
  <c r="A23"/>
  <c r="D28"/>
  <c r="D33"/>
  <c r="A39"/>
  <c r="D44"/>
  <c r="D49"/>
  <c r="A55"/>
  <c r="D60"/>
  <c r="D65"/>
  <c r="E72" i="2"/>
  <c r="D73"/>
  <c r="H70"/>
  <c r="P70"/>
  <c r="Q70" s="1"/>
  <c r="L70" s="1"/>
  <c r="N70"/>
  <c r="O70" s="1"/>
  <c r="I70" s="1"/>
  <c r="M70"/>
  <c r="H71" l="1"/>
  <c r="N71"/>
  <c r="O71" s="1"/>
  <c r="I71" s="1"/>
  <c r="M71"/>
  <c r="P71"/>
  <c r="Q71" s="1"/>
  <c r="L71" s="1"/>
  <c r="E73"/>
  <c r="D74"/>
  <c r="F72"/>
  <c r="G72" s="1"/>
  <c r="H72" l="1"/>
  <c r="P72"/>
  <c r="Q72" s="1"/>
  <c r="L72" s="1"/>
  <c r="N72"/>
  <c r="O72" s="1"/>
  <c r="I72" s="1"/>
  <c r="M72"/>
  <c r="F73"/>
  <c r="G73" s="1"/>
  <c r="E74"/>
  <c r="D75"/>
  <c r="H73" l="1"/>
  <c r="P73"/>
  <c r="Q73" s="1"/>
  <c r="L73" s="1"/>
  <c r="N73"/>
  <c r="O73" s="1"/>
  <c r="I73" s="1"/>
  <c r="M73"/>
  <c r="E75"/>
  <c r="F74"/>
  <c r="G74" s="1"/>
  <c r="H74" l="1"/>
  <c r="P74"/>
  <c r="Q74" s="1"/>
  <c r="L74" s="1"/>
  <c r="M74"/>
  <c r="N74"/>
  <c r="O74" s="1"/>
  <c r="I74" s="1"/>
  <c r="F75"/>
  <c r="G75" s="1"/>
  <c r="H75" l="1"/>
  <c r="M75"/>
  <c r="N75"/>
  <c r="O75" s="1"/>
  <c r="I75" s="1"/>
  <c r="P75"/>
  <c r="Q75" s="1"/>
  <c r="L75" s="1"/>
</calcChain>
</file>

<file path=xl/sharedStrings.xml><?xml version="1.0" encoding="utf-8"?>
<sst xmlns="http://schemas.openxmlformats.org/spreadsheetml/2006/main" count="104" uniqueCount="83">
  <si>
    <t>Frequency MHz.</t>
  </si>
  <si>
    <t>Wavelength cm.</t>
  </si>
  <si>
    <t>Boom Diameter cm.</t>
  </si>
  <si>
    <t>Element Diameter mm.</t>
  </si>
  <si>
    <t>Element Thru Boom ("Y/N")</t>
  </si>
  <si>
    <t>Boom Length (Metres)</t>
  </si>
  <si>
    <t>Gain (dbd)</t>
  </si>
  <si>
    <t>Thru Boom Correction (cm).</t>
  </si>
  <si>
    <t>Useable bandwidth</t>
  </si>
  <si>
    <t>DL6WU Yagi Antenna Calculator</t>
  </si>
  <si>
    <t>Instructions. Enter Numbers</t>
  </si>
  <si>
    <t>By David D. Tanner</t>
  </si>
  <si>
    <t>in blue cells.</t>
  </si>
  <si>
    <t>VK3AUU</t>
  </si>
  <si>
    <t>Modified by VK3KAI</t>
  </si>
  <si>
    <t>Korumburra Road,</t>
  </si>
  <si>
    <t>Drouin South. 3818.</t>
  </si>
  <si>
    <t>Australia.</t>
  </si>
  <si>
    <t>DL6WU Yagi</t>
  </si>
  <si>
    <t>Frequency (MHz).</t>
  </si>
  <si>
    <t>MHz</t>
  </si>
  <si>
    <t>Boom Diam. Cms.</t>
  </si>
  <si>
    <t>Corrections</t>
  </si>
  <si>
    <t>Wavelength (cm).</t>
  </si>
  <si>
    <t>Corr.</t>
  </si>
  <si>
    <t>Boom Diameter (cm).</t>
  </si>
  <si>
    <t>Element Diameter (mm).</t>
  </si>
  <si>
    <t>Gain (dBd)</t>
  </si>
  <si>
    <t>Intermediate Calculations</t>
  </si>
  <si>
    <t>Elements</t>
  </si>
  <si>
    <t>Reflector Length (cm).</t>
  </si>
  <si>
    <t>Degrees</t>
  </si>
  <si>
    <t xml:space="preserve"> </t>
  </si>
  <si>
    <t>Reflector Spacing (cm).</t>
  </si>
  <si>
    <t>Usable Bandwidth</t>
  </si>
  <si>
    <t>Driven Element (cm).</t>
  </si>
  <si>
    <t>to</t>
  </si>
  <si>
    <t xml:space="preserve"> Mhz.</t>
  </si>
  <si>
    <t>Number of Elements</t>
  </si>
  <si>
    <t>Director length - Wavelengths</t>
  </si>
  <si>
    <t>Approx</t>
  </si>
  <si>
    <t>Horizontal -</t>
  </si>
  <si>
    <t>Actual</t>
  </si>
  <si>
    <t>DL6WU - VK3AUU</t>
  </si>
  <si>
    <t xml:space="preserve"> 'L = .5179 - .4328 d^.2078 + (.007344 + .1794 d^.1996)e^-.07586N</t>
  </si>
  <si>
    <t>Director Number</t>
  </si>
  <si>
    <t>Length</t>
  </si>
  <si>
    <t>Spacing</t>
  </si>
  <si>
    <t>Boom</t>
  </si>
  <si>
    <t>Gain</t>
  </si>
  <si>
    <t>Beam</t>
  </si>
  <si>
    <t>Stacking Dist</t>
  </si>
  <si>
    <t>Gain of</t>
  </si>
  <si>
    <t xml:space="preserve">  Distance each</t>
  </si>
  <si>
    <t>Support</t>
  </si>
  <si>
    <t xml:space="preserve">   4 Yagi Phasing</t>
  </si>
  <si>
    <t xml:space="preserve">  8 Yagi Phasing</t>
  </si>
  <si>
    <t>Length Feet</t>
  </si>
  <si>
    <t>Director Number (N)</t>
  </si>
  <si>
    <t>Number</t>
  </si>
  <si>
    <t>cms.</t>
  </si>
  <si>
    <t>Length(cm)</t>
  </si>
  <si>
    <t>Dbd</t>
  </si>
  <si>
    <t>Width</t>
  </si>
  <si>
    <t>Feet</t>
  </si>
  <si>
    <t xml:space="preserve">   Four</t>
  </si>
  <si>
    <t xml:space="preserve"> side of boom</t>
  </si>
  <si>
    <t>Eight</t>
  </si>
  <si>
    <t>Height</t>
  </si>
  <si>
    <t>Loss</t>
  </si>
  <si>
    <t>_</t>
  </si>
  <si>
    <t>Frequency Mhz.</t>
  </si>
  <si>
    <t>Wavelength Cm.</t>
  </si>
  <si>
    <t>Boom Diameter Cm.</t>
  </si>
  <si>
    <t>Element Diameter Mm.</t>
  </si>
  <si>
    <t>ELEMENT</t>
  </si>
  <si>
    <t>Distance each</t>
  </si>
  <si>
    <t>Position</t>
  </si>
  <si>
    <t>Side of boom</t>
  </si>
  <si>
    <t>REFL</t>
  </si>
  <si>
    <t>DRIV</t>
  </si>
  <si>
    <t>Dir 1</t>
  </si>
  <si>
    <t>y</t>
  </si>
</sst>
</file>

<file path=xl/styles.xml><?xml version="1.0" encoding="utf-8"?>
<styleSheet xmlns="http://schemas.openxmlformats.org/spreadsheetml/2006/main">
  <numFmts count="1">
    <numFmt numFmtId="180" formatCode="0.0"/>
  </numFmts>
  <fonts count="4">
    <font>
      <sz val="10"/>
      <name val="MS Sans Serif"/>
    </font>
    <font>
      <b/>
      <sz val="10"/>
      <name val="MS Sans Serif"/>
    </font>
    <font>
      <sz val="10"/>
      <color indexed="9"/>
      <name val="MS Sans Serif"/>
      <family val="2"/>
    </font>
    <font>
      <b/>
      <sz val="10"/>
      <color indexed="8"/>
      <name val="MS Sans Serif"/>
      <family val="2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/>
    <xf numFmtId="0" fontId="0" fillId="0" borderId="0" xfId="0" applyProtection="1">
      <protection hidden="1"/>
    </xf>
    <xf numFmtId="180" fontId="0" fillId="0" borderId="0" xfId="0" applyNumberFormat="1"/>
    <xf numFmtId="0" fontId="1" fillId="0" borderId="0" xfId="0" applyFont="1" applyAlignment="1">
      <alignment horizontal="center"/>
    </xf>
    <xf numFmtId="0" fontId="1" fillId="0" borderId="0" xfId="0" applyFont="1"/>
    <xf numFmtId="180" fontId="1" fillId="0" borderId="0" xfId="0" applyNumberFormat="1" applyFont="1"/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0" fontId="0" fillId="0" borderId="0" xfId="0" applyAlignment="1"/>
    <xf numFmtId="0" fontId="1" fillId="2" borderId="0" xfId="0" applyFont="1" applyFill="1" applyAlignment="1">
      <alignment horizontal="center"/>
    </xf>
    <xf numFmtId="0" fontId="2" fillId="0" borderId="0" xfId="0" applyFont="1" applyFill="1" applyBorder="1" applyProtection="1">
      <protection locked="0" hidden="1"/>
    </xf>
    <xf numFmtId="0" fontId="3" fillId="3" borderId="0" xfId="0" applyFont="1" applyFill="1" applyAlignment="1">
      <alignment horizontal="center"/>
    </xf>
    <xf numFmtId="2" fontId="0" fillId="0" borderId="0" xfId="0" applyNumberFormat="1" applyAlignment="1">
      <alignment horizontal="center"/>
    </xf>
    <xf numFmtId="0" fontId="1" fillId="3" borderId="0" xfId="0" applyFont="1" applyFill="1" applyAlignment="1">
      <alignment horizontal="center"/>
    </xf>
    <xf numFmtId="180" fontId="1" fillId="2" borderId="0" xfId="0" applyNumberFormat="1" applyFont="1" applyFill="1" applyAlignment="1">
      <alignment horizontal="center"/>
    </xf>
    <xf numFmtId="180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Gain vs Boom Length</a:t>
            </a:r>
          </a:p>
        </c:rich>
      </c:tx>
      <c:layout>
        <c:manualLayout>
          <c:xMode val="edge"/>
          <c:yMode val="edge"/>
          <c:x val="0.36842186418115058"/>
          <c:y val="3.5476756812938277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1578972874264733"/>
          <c:y val="0.16629729756064818"/>
          <c:w val="0.71127976227626211"/>
          <c:h val="0.6430162172345063"/>
        </c:manualLayout>
      </c:layout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'DL6WU-2'!$D$25:$D$75</c:f>
              <c:numCache>
                <c:formatCode>0.0</c:formatCode>
                <c:ptCount val="51"/>
                <c:pt idx="0" formatCode="General">
                  <c:v>0</c:v>
                </c:pt>
                <c:pt idx="1">
                  <c:v>349.76666666666665</c:v>
                </c:pt>
                <c:pt idx="2">
                  <c:v>549.63333333333333</c:v>
                </c:pt>
                <c:pt idx="3">
                  <c:v>788.36296296296291</c:v>
                </c:pt>
                <c:pt idx="4">
                  <c:v>1065.9555555555555</c:v>
                </c:pt>
                <c:pt idx="5">
                  <c:v>1376.8592592592593</c:v>
                </c:pt>
                <c:pt idx="6">
                  <c:v>1709.9703703703703</c:v>
                </c:pt>
                <c:pt idx="7">
                  <c:v>2059.7370370370372</c:v>
                </c:pt>
                <c:pt idx="8">
                  <c:v>2426.1592592592597</c:v>
                </c:pt>
                <c:pt idx="9">
                  <c:v>2809.2370370370372</c:v>
                </c:pt>
                <c:pt idx="10">
                  <c:v>3208.9703703703708</c:v>
                </c:pt>
                <c:pt idx="11">
                  <c:v>3625.3592592592595</c:v>
                </c:pt>
                <c:pt idx="12">
                  <c:v>4052.8518518518522</c:v>
                </c:pt>
                <c:pt idx="13">
                  <c:v>4485.8962962962969</c:v>
                </c:pt>
                <c:pt idx="14">
                  <c:v>4924.4925925925936</c:v>
                </c:pt>
                <c:pt idx="15">
                  <c:v>5368.6407407407414</c:v>
                </c:pt>
                <c:pt idx="16">
                  <c:v>5812.7888888888892</c:v>
                </c:pt>
                <c:pt idx="17">
                  <c:v>6256.937037037037</c:v>
                </c:pt>
                <c:pt idx="18">
                  <c:v>6701.0851851851849</c:v>
                </c:pt>
                <c:pt idx="19">
                  <c:v>7145.2333333333327</c:v>
                </c:pt>
                <c:pt idx="20">
                  <c:v>7589.3814814814805</c:v>
                </c:pt>
                <c:pt idx="21">
                  <c:v>8033.5296296296283</c:v>
                </c:pt>
                <c:pt idx="22">
                  <c:v>8477.677777777777</c:v>
                </c:pt>
                <c:pt idx="23">
                  <c:v>8921.8259259259248</c:v>
                </c:pt>
                <c:pt idx="24">
                  <c:v>9365.9740740740726</c:v>
                </c:pt>
                <c:pt idx="25">
                  <c:v>9810.1222222222204</c:v>
                </c:pt>
                <c:pt idx="26">
                  <c:v>10254.270370370368</c:v>
                </c:pt>
                <c:pt idx="27">
                  <c:v>10698.418518518516</c:v>
                </c:pt>
                <c:pt idx="28">
                  <c:v>11142.566666666664</c:v>
                </c:pt>
                <c:pt idx="29">
                  <c:v>11586.714814814812</c:v>
                </c:pt>
                <c:pt idx="30">
                  <c:v>12030.86296296296</c:v>
                </c:pt>
                <c:pt idx="31">
                  <c:v>12475.011111111107</c:v>
                </c:pt>
                <c:pt idx="32">
                  <c:v>12919.159259259255</c:v>
                </c:pt>
                <c:pt idx="33">
                  <c:v>13363.307407407403</c:v>
                </c:pt>
                <c:pt idx="34">
                  <c:v>13807.455555555551</c:v>
                </c:pt>
                <c:pt idx="35">
                  <c:v>14251.603703703699</c:v>
                </c:pt>
                <c:pt idx="36">
                  <c:v>14695.751851851846</c:v>
                </c:pt>
                <c:pt idx="37">
                  <c:v>15139.899999999994</c:v>
                </c:pt>
                <c:pt idx="38">
                  <c:v>15584.048148148142</c:v>
                </c:pt>
                <c:pt idx="39">
                  <c:v>16028.19629629629</c:v>
                </c:pt>
                <c:pt idx="40">
                  <c:v>16472.344444444439</c:v>
                </c:pt>
                <c:pt idx="41">
                  <c:v>16916.492592592589</c:v>
                </c:pt>
                <c:pt idx="42">
                  <c:v>17360.640740740739</c:v>
                </c:pt>
                <c:pt idx="43">
                  <c:v>17804.788888888888</c:v>
                </c:pt>
                <c:pt idx="44">
                  <c:v>18248.937037037038</c:v>
                </c:pt>
                <c:pt idx="45">
                  <c:v>18693.085185185188</c:v>
                </c:pt>
                <c:pt idx="46">
                  <c:v>19137.233333333337</c:v>
                </c:pt>
                <c:pt idx="47">
                  <c:v>19581.381481481487</c:v>
                </c:pt>
                <c:pt idx="48">
                  <c:v>20025.529629629636</c:v>
                </c:pt>
                <c:pt idx="49">
                  <c:v>20469.677777777786</c:v>
                </c:pt>
                <c:pt idx="50">
                  <c:v>20913.825925925936</c:v>
                </c:pt>
              </c:numCache>
            </c:numRef>
          </c:cat>
          <c:val>
            <c:numRef>
              <c:f>'DL6WU-2'!$E$25:$E$75</c:f>
              <c:numCache>
                <c:formatCode>0.0</c:formatCode>
                <c:ptCount val="51"/>
                <c:pt idx="0" formatCode="General">
                  <c:v>0</c:v>
                </c:pt>
                <c:pt idx="1">
                  <c:v>5.2868223195588833</c:v>
                </c:pt>
                <c:pt idx="2">
                  <c:v>6.8179205516818353</c:v>
                </c:pt>
                <c:pt idx="3">
                  <c:v>8.039815120008786</c:v>
                </c:pt>
                <c:pt idx="4">
                  <c:v>9.0617156177086322</c:v>
                </c:pt>
                <c:pt idx="5">
                  <c:v>9.9286891442654337</c:v>
                </c:pt>
                <c:pt idx="6">
                  <c:v>10.662661622524411</c:v>
                </c:pt>
                <c:pt idx="7">
                  <c:v>11.293082528818303</c:v>
                </c:pt>
                <c:pt idx="8">
                  <c:v>11.847721242190236</c:v>
                </c:pt>
                <c:pt idx="9">
                  <c:v>12.344340065171378</c:v>
                </c:pt>
                <c:pt idx="10">
                  <c:v>12.795003173501073</c:v>
                </c:pt>
                <c:pt idx="11">
                  <c:v>13.208288847766521</c:v>
                </c:pt>
                <c:pt idx="12">
                  <c:v>13.585884342760501</c:v>
                </c:pt>
                <c:pt idx="13">
                  <c:v>13.929774647862718</c:v>
                </c:pt>
                <c:pt idx="14">
                  <c:v>14.245770268508412</c:v>
                </c:pt>
                <c:pt idx="15">
                  <c:v>14.538292531668359</c:v>
                </c:pt>
                <c:pt idx="16">
                  <c:v>14.807550150915915</c:v>
                </c:pt>
                <c:pt idx="17">
                  <c:v>15.056972578980577</c:v>
                </c:pt>
                <c:pt idx="18">
                  <c:v>15.289282740580269</c:v>
                </c:pt>
                <c:pt idx="19">
                  <c:v>15.506678699675161</c:v>
                </c:pt>
                <c:pt idx="20">
                  <c:v>15.71096044744996</c:v>
                </c:pt>
                <c:pt idx="21">
                  <c:v>15.903620576549438</c:v>
                </c:pt>
                <c:pt idx="22">
                  <c:v>16.085910522861031</c:v>
                </c:pt>
                <c:pt idx="23">
                  <c:v>16.258889872575033</c:v>
                </c:pt>
                <c:pt idx="24">
                  <c:v>16.42346367801612</c:v>
                </c:pt>
                <c:pt idx="25">
                  <c:v>16.580411119973704</c:v>
                </c:pt>
                <c:pt idx="26">
                  <c:v>16.730407818254829</c:v>
                </c:pt>
                <c:pt idx="27">
                  <c:v>16.874043408133478</c:v>
                </c:pt>
                <c:pt idx="28">
                  <c:v>17.01183553922333</c:v>
                </c:pt>
                <c:pt idx="29">
                  <c:v>17.144241136531488</c:v>
                </c:pt>
                <c:pt idx="30">
                  <c:v>17.271665542115525</c:v>
                </c:pt>
                <c:pt idx="31">
                  <c:v>17.394469998690148</c:v>
                </c:pt>
                <c:pt idx="32">
                  <c:v>17.51297782345744</c:v>
                </c:pt>
                <c:pt idx="33">
                  <c:v>17.627479537966178</c:v>
                </c:pt>
                <c:pt idx="34">
                  <c:v>17.738237158926445</c:v>
                </c:pt>
                <c:pt idx="35">
                  <c:v>17.845487809458202</c:v>
                </c:pt>
                <c:pt idx="36">
                  <c:v>17.94944677597146</c:v>
                </c:pt>
                <c:pt idx="37">
                  <c:v>18.050310109765658</c:v>
                </c:pt>
                <c:pt idx="38">
                  <c:v>18.14825685236957</c:v>
                </c:pt>
                <c:pt idx="39">
                  <c:v>18.243450948090562</c:v>
                </c:pt>
                <c:pt idx="40">
                  <c:v>18.336042895092312</c:v>
                </c:pt>
                <c:pt idx="41">
                  <c:v>18.426171176757798</c:v>
                </c:pt>
                <c:pt idx="42">
                  <c:v>18.513963507515825</c:v>
                </c:pt>
                <c:pt idx="43">
                  <c:v>18.59953792126278</c:v>
                </c:pt>
                <c:pt idx="44">
                  <c:v>18.683003725657613</c:v>
                </c:pt>
                <c:pt idx="45">
                  <c:v>18.764462341648034</c:v>
                </c:pt>
                <c:pt idx="46">
                  <c:v>18.844008044402941</c:v>
                </c:pt>
                <c:pt idx="47">
                  <c:v>18.921728619227366</c:v>
                </c:pt>
                <c:pt idx="48">
                  <c:v>18.99770594390418</c:v>
                </c:pt>
                <c:pt idx="49">
                  <c:v>19.072016507148653</c:v>
                </c:pt>
                <c:pt idx="50">
                  <c:v>19.144731871406435</c:v>
                </c:pt>
              </c:numCache>
            </c:numRef>
          </c:val>
        </c:ser>
        <c:marker val="1"/>
        <c:axId val="68724608"/>
        <c:axId val="68735360"/>
      </c:lineChart>
      <c:catAx>
        <c:axId val="6872460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Boom length  (cm)</a:t>
                </a:r>
              </a:p>
            </c:rich>
          </c:tx>
          <c:layout>
            <c:manualLayout>
              <c:xMode val="edge"/>
              <c:yMode val="edge"/>
              <c:x val="0.38045196586869828"/>
              <c:y val="0.90022270412830885"/>
            </c:manualLayout>
          </c:layout>
          <c:spPr>
            <a:noFill/>
            <a:ln w="25400">
              <a:noFill/>
            </a:ln>
          </c:spPr>
        </c:title>
        <c:numFmt formatCode="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68735360"/>
        <c:crosses val="autoZero"/>
        <c:lblAlgn val="ctr"/>
        <c:lblOffset val="100"/>
        <c:tickLblSkip val="3"/>
        <c:tickMarkSkip val="1"/>
      </c:catAx>
      <c:valAx>
        <c:axId val="6873536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Gain dBd</a:t>
                </a:r>
              </a:p>
            </c:rich>
          </c:tx>
          <c:layout>
            <c:manualLayout>
              <c:xMode val="edge"/>
              <c:yMode val="edge"/>
              <c:x val="3.4586542351699848E-2"/>
              <c:y val="0.41906918985283337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6872460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106680</xdr:colOff>
      <xdr:row>89</xdr:row>
      <xdr:rowOff>121920</xdr:rowOff>
    </xdr:from>
    <xdr:to>
      <xdr:col>14</xdr:col>
      <xdr:colOff>175260</xdr:colOff>
      <xdr:row>111</xdr:row>
      <xdr:rowOff>38100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66"/>
  <sheetViews>
    <sheetView workbookViewId="0">
      <selection activeCell="D2" sqref="D2"/>
    </sheetView>
  </sheetViews>
  <sheetFormatPr baseColWidth="10" defaultColWidth="9.109375" defaultRowHeight="12.6"/>
  <cols>
    <col min="1" max="1" width="10" customWidth="1"/>
    <col min="2" max="3" width="9.109375" customWidth="1"/>
    <col min="4" max="4" width="9.33203125" bestFit="1" customWidth="1"/>
  </cols>
  <sheetData>
    <row r="1" spans="1:6">
      <c r="A1" s="8" t="s">
        <v>0</v>
      </c>
      <c r="B1" s="3"/>
      <c r="D1" s="13">
        <v>27</v>
      </c>
    </row>
    <row r="2" spans="1:6">
      <c r="A2" s="8" t="s">
        <v>1</v>
      </c>
      <c r="B2" s="3"/>
      <c r="D2" s="14">
        <f>'DL6WU-2'!$D$9</f>
        <v>1110.3703703703704</v>
      </c>
    </row>
    <row r="3" spans="1:6">
      <c r="A3" s="8" t="s">
        <v>2</v>
      </c>
      <c r="B3" s="3"/>
      <c r="D3" s="13">
        <v>1</v>
      </c>
    </row>
    <row r="4" spans="1:6">
      <c r="A4" s="8" t="s">
        <v>3</v>
      </c>
      <c r="B4" s="3"/>
      <c r="D4" s="13">
        <v>2.3812500000000001</v>
      </c>
    </row>
    <row r="5" spans="1:6">
      <c r="A5" s="8" t="s">
        <v>4</v>
      </c>
      <c r="B5" s="3"/>
      <c r="D5" s="13" t="s">
        <v>82</v>
      </c>
    </row>
    <row r="6" spans="1:6">
      <c r="A6" s="8" t="s">
        <v>5</v>
      </c>
      <c r="B6" s="3"/>
      <c r="D6" s="15">
        <v>0.8</v>
      </c>
    </row>
    <row r="7" spans="1:6">
      <c r="A7" s="8" t="s">
        <v>6</v>
      </c>
      <c r="B7" s="3"/>
      <c r="D7" s="17" t="e">
        <f>'DL6WU-2'!D14</f>
        <v>#N/A</v>
      </c>
    </row>
    <row r="8" spans="1:6">
      <c r="A8" s="8" t="s">
        <v>7</v>
      </c>
      <c r="B8" s="3"/>
      <c r="D8" s="14">
        <f>'DL6WU-2'!D15</f>
        <v>0.16080720480320213</v>
      </c>
    </row>
    <row r="9" spans="1:6">
      <c r="B9" s="3"/>
      <c r="D9" s="1"/>
    </row>
    <row r="10" spans="1:6">
      <c r="B10" s="3"/>
      <c r="D10" s="1"/>
    </row>
    <row r="11" spans="1:6">
      <c r="A11" s="8" t="s">
        <v>8</v>
      </c>
      <c r="B11" s="3"/>
      <c r="C11">
        <f t="array" ref="C11:F11">'DL6WU-2'!$C$87:$F$87</f>
        <v>26.46</v>
      </c>
      <c r="D11" s="1" t="str">
        <v>to</v>
      </c>
      <c r="E11">
        <v>27.54</v>
      </c>
      <c r="F11" t="str">
        <v>MHz</v>
      </c>
    </row>
    <row r="12" spans="1:6">
      <c r="B12" s="3"/>
    </row>
    <row r="13" spans="1:6">
      <c r="A13" t="str">
        <f t="array" ref="A13:D66">'DL6WU-2'!$A$89:$D$142</f>
        <v>ELEMENT</v>
      </c>
      <c r="B13" s="3" t="str">
        <v xml:space="preserve"> </v>
      </c>
      <c r="C13" t="str">
        <v>Boom</v>
      </c>
      <c r="D13" t="str">
        <v>Distance each</v>
      </c>
    </row>
    <row r="14" spans="1:6">
      <c r="A14" t="str">
        <v xml:space="preserve"> </v>
      </c>
      <c r="B14" t="str">
        <v>Length</v>
      </c>
      <c r="C14" t="str">
        <v>Position</v>
      </c>
      <c r="D14" t="str">
        <v>Side of boom</v>
      </c>
    </row>
    <row r="15" spans="1:6">
      <c r="A15" t="str">
        <v>REFL</v>
      </c>
      <c r="B15" s="2">
        <v>576.13236173940857</v>
      </c>
      <c r="C15" s="2">
        <v>2</v>
      </c>
      <c r="D15" s="2">
        <v>287.56618086970428</v>
      </c>
    </row>
    <row r="16" spans="1:6">
      <c r="A16" t="str">
        <v>DRIV</v>
      </c>
      <c r="B16" s="2">
        <v>559.15748181892616</v>
      </c>
      <c r="C16" s="2">
        <v>268.48888888888888</v>
      </c>
      <c r="D16" s="2">
        <v>279.07874090946308</v>
      </c>
    </row>
    <row r="17" spans="1:4">
      <c r="A17" t="str">
        <v>Dir 1</v>
      </c>
      <c r="B17" s="2">
        <v>533.96206256588323</v>
      </c>
      <c r="C17" s="2">
        <v>351.76666666666665</v>
      </c>
      <c r="D17" s="2">
        <v>266.48103128294161</v>
      </c>
    </row>
    <row r="18" spans="1:4">
      <c r="A18">
        <v>2</v>
      </c>
      <c r="B18" s="2">
        <v>530.91185501110454</v>
      </c>
      <c r="C18" s="2">
        <v>551.63333333333333</v>
      </c>
      <c r="D18" s="2">
        <v>264.95592750555227</v>
      </c>
    </row>
    <row r="19" spans="1:4">
      <c r="A19">
        <v>3</v>
      </c>
      <c r="B19" s="2">
        <v>528.08446892866323</v>
      </c>
      <c r="C19" s="2">
        <v>790.36296296296291</v>
      </c>
      <c r="D19" s="2">
        <v>263.54223446433161</v>
      </c>
    </row>
    <row r="20" spans="1:4">
      <c r="A20">
        <v>4</v>
      </c>
      <c r="B20" s="2">
        <v>525.4636269316461</v>
      </c>
      <c r="C20" s="2">
        <v>1067.9555555555555</v>
      </c>
      <c r="D20" s="2">
        <v>262.23181346582305</v>
      </c>
    </row>
    <row r="21" spans="1:4">
      <c r="A21">
        <v>5</v>
      </c>
      <c r="B21" s="2">
        <v>523.03424071658844</v>
      </c>
      <c r="C21" s="2">
        <v>1378.8592592592593</v>
      </c>
      <c r="D21" s="2">
        <v>261.01712035829422</v>
      </c>
    </row>
    <row r="22" spans="1:4">
      <c r="A22">
        <v>6</v>
      </c>
      <c r="B22" s="2">
        <v>520.78232419944288</v>
      </c>
      <c r="C22" s="2">
        <v>1711.9703703703703</v>
      </c>
      <c r="D22" s="2">
        <v>259.89116209972144</v>
      </c>
    </row>
    <row r="23" spans="1:4">
      <c r="A23">
        <v>7</v>
      </c>
      <c r="B23" s="2">
        <v>518.69491299707329</v>
      </c>
      <c r="C23" s="2">
        <v>2061.7370370370372</v>
      </c>
      <c r="D23" s="2">
        <v>258.84745649853664</v>
      </c>
    </row>
    <row r="24" spans="1:4">
      <c r="A24">
        <v>8</v>
      </c>
      <c r="B24" s="2">
        <v>516.75998979072767</v>
      </c>
      <c r="C24" s="2">
        <v>2428.1592592592597</v>
      </c>
      <c r="D24" s="2">
        <v>257.87999489536384</v>
      </c>
    </row>
    <row r="25" spans="1:4">
      <c r="A25">
        <v>9</v>
      </c>
      <c r="B25" s="2">
        <v>514.96641514180158</v>
      </c>
      <c r="C25" s="2">
        <v>2811.2370370370372</v>
      </c>
      <c r="D25" s="2">
        <v>256.98320757090079</v>
      </c>
    </row>
    <row r="26" spans="1:4">
      <c r="A26">
        <v>10</v>
      </c>
      <c r="B26" s="2">
        <v>513.30386336159609</v>
      </c>
      <c r="C26" s="2">
        <v>3210.9703703703708</v>
      </c>
      <c r="D26" s="2">
        <v>256.15193168079804</v>
      </c>
    </row>
    <row r="27" spans="1:4">
      <c r="A27">
        <v>11</v>
      </c>
      <c r="B27" s="2">
        <v>511.76276306587141</v>
      </c>
      <c r="C27" s="2">
        <v>3627.3592592592595</v>
      </c>
      <c r="D27" s="2">
        <v>255.38138153293571</v>
      </c>
    </row>
    <row r="28" spans="1:4">
      <c r="A28">
        <v>12</v>
      </c>
      <c r="B28" s="2">
        <v>510.33424207196344</v>
      </c>
      <c r="C28" s="2">
        <v>4054.8518518518522</v>
      </c>
      <c r="D28" s="2">
        <v>254.66712103598172</v>
      </c>
    </row>
    <row r="29" spans="1:4">
      <c r="A29">
        <v>13</v>
      </c>
      <c r="B29" s="2">
        <v>509.0100763212352</v>
      </c>
      <c r="C29" s="2">
        <v>4487.8962962962969</v>
      </c>
      <c r="D29" s="2">
        <v>254.0050381606176</v>
      </c>
    </row>
    <row r="30" spans="1:4">
      <c r="A30">
        <v>14</v>
      </c>
      <c r="B30" s="2">
        <v>507.7826425328069</v>
      </c>
      <c r="C30" s="2">
        <v>4926.4925925925936</v>
      </c>
      <c r="D30" s="2">
        <v>253.39132126640345</v>
      </c>
    </row>
    <row r="31" spans="1:4">
      <c r="A31">
        <v>15</v>
      </c>
      <c r="B31" s="2">
        <v>506.64487431599053</v>
      </c>
      <c r="C31" s="2">
        <v>5370.6407407407414</v>
      </c>
      <c r="D31" s="2">
        <v>252.82243715799527</v>
      </c>
    </row>
    <row r="32" spans="1:4">
      <c r="A32">
        <v>16</v>
      </c>
      <c r="B32" s="2">
        <v>505.59022148876551</v>
      </c>
      <c r="C32" s="2">
        <v>5814.7888888888892</v>
      </c>
      <c r="D32" s="2">
        <v>252.29511074438275</v>
      </c>
    </row>
    <row r="33" spans="1:4">
      <c r="A33">
        <v>17</v>
      </c>
      <c r="B33" s="2">
        <v>504.61261236809042</v>
      </c>
      <c r="C33" s="2">
        <v>6258.937037037037</v>
      </c>
      <c r="D33" s="2">
        <v>251.80630618404521</v>
      </c>
    </row>
    <row r="34" spans="1:4">
      <c r="A34">
        <v>18</v>
      </c>
      <c r="B34" s="2">
        <v>503.70641881495538</v>
      </c>
      <c r="C34" s="2">
        <v>6703.0851851851849</v>
      </c>
      <c r="D34" s="2">
        <v>251.35320940747769</v>
      </c>
    </row>
    <row r="35" spans="1:4">
      <c r="A35">
        <v>19</v>
      </c>
      <c r="B35" s="2">
        <v>502.86642383293588</v>
      </c>
      <c r="C35" s="2">
        <v>7147.2333333333327</v>
      </c>
      <c r="D35" s="2">
        <v>250.93321191646794</v>
      </c>
    </row>
    <row r="36" spans="1:4">
      <c r="A36">
        <v>20</v>
      </c>
      <c r="B36" s="2">
        <v>502.08779153371358</v>
      </c>
      <c r="C36" s="2">
        <v>7591.3814814814805</v>
      </c>
      <c r="D36" s="2">
        <v>250.54389576685679</v>
      </c>
    </row>
    <row r="37" spans="1:4">
      <c r="A37">
        <v>21</v>
      </c>
      <c r="B37" s="2">
        <v>501.36603929665301</v>
      </c>
      <c r="C37" s="2">
        <v>8035.5296296296283</v>
      </c>
      <c r="D37" s="2">
        <v>250.18301964832651</v>
      </c>
    </row>
    <row r="38" spans="1:4">
      <c r="A38">
        <v>22</v>
      </c>
      <c r="B38" s="2">
        <v>500.69701196215624</v>
      </c>
      <c r="C38" s="2">
        <v>8479.677777777777</v>
      </c>
      <c r="D38" s="2">
        <v>249.84850598107812</v>
      </c>
    </row>
    <row r="39" spans="1:4">
      <c r="A39">
        <v>23</v>
      </c>
      <c r="B39" s="2">
        <v>500.07685791022431</v>
      </c>
      <c r="C39" s="2">
        <v>8923.8259259259248</v>
      </c>
      <c r="D39" s="2">
        <v>249.53842895511215</v>
      </c>
    </row>
    <row r="40" spans="1:4">
      <c r="A40">
        <v>24</v>
      </c>
      <c r="B40" s="2">
        <v>499.50200688651131</v>
      </c>
      <c r="C40" s="2">
        <v>9367.9740740740726</v>
      </c>
      <c r="D40" s="2">
        <v>249.25100344325566</v>
      </c>
    </row>
    <row r="41" spans="1:4">
      <c r="A41">
        <v>25</v>
      </c>
      <c r="B41" s="2">
        <v>498.96914944821106</v>
      </c>
      <c r="C41" s="2">
        <v>9812.1222222222204</v>
      </c>
      <c r="D41" s="2">
        <v>248.98457472410553</v>
      </c>
    </row>
    <row r="42" spans="1:4">
      <c r="A42">
        <v>26</v>
      </c>
      <c r="B42" s="2">
        <v>498.47521791144891</v>
      </c>
      <c r="C42" s="2">
        <v>10256.270370370368</v>
      </c>
      <c r="D42" s="2">
        <v>248.73760895572445</v>
      </c>
    </row>
    <row r="43" spans="1:4">
      <c r="A43">
        <v>27</v>
      </c>
      <c r="B43" s="2">
        <v>498.01736869048938</v>
      </c>
      <c r="C43" s="2">
        <v>10700.418518518516</v>
      </c>
      <c r="D43" s="2">
        <v>248.50868434524469</v>
      </c>
    </row>
    <row r="44" spans="1:4">
      <c r="A44">
        <v>28</v>
      </c>
      <c r="B44" s="2">
        <v>497.59296592708745</v>
      </c>
      <c r="C44" s="2">
        <v>11144.566666666664</v>
      </c>
      <c r="D44" s="2">
        <v>248.29648296354372</v>
      </c>
    </row>
    <row r="45" spans="1:4">
      <c r="A45">
        <v>29</v>
      </c>
      <c r="B45" s="2">
        <v>497.19956631573569</v>
      </c>
      <c r="C45" s="2">
        <v>11588.714814814812</v>
      </c>
      <c r="D45" s="2">
        <v>248.09978315786785</v>
      </c>
    </row>
    <row r="46" spans="1:4">
      <c r="A46">
        <v>30</v>
      </c>
      <c r="B46" s="2">
        <v>496.83490503744622</v>
      </c>
      <c r="C46" s="2">
        <v>12032.86296296296</v>
      </c>
      <c r="D46" s="2">
        <v>247.91745251872311</v>
      </c>
    </row>
    <row r="47" spans="1:4">
      <c r="A47">
        <v>31</v>
      </c>
      <c r="B47" s="2">
        <v>496.49688272108756</v>
      </c>
      <c r="C47" s="2">
        <v>12477.011111111107</v>
      </c>
      <c r="D47" s="2">
        <v>247.74844136054378</v>
      </c>
    </row>
    <row r="48" spans="1:4">
      <c r="A48">
        <v>32</v>
      </c>
      <c r="B48" s="2">
        <v>496.18355335721202</v>
      </c>
      <c r="C48" s="2">
        <v>12921.159259259255</v>
      </c>
      <c r="D48" s="2">
        <v>247.59177667860601</v>
      </c>
    </row>
    <row r="49" spans="1:4">
      <c r="A49">
        <v>33</v>
      </c>
      <c r="B49" s="2">
        <v>495.89311309479325</v>
      </c>
      <c r="C49" s="2">
        <v>13365.307407407403</v>
      </c>
      <c r="D49" s="2">
        <v>247.44655654739663</v>
      </c>
    </row>
    <row r="50" spans="1:4">
      <c r="A50">
        <v>34</v>
      </c>
      <c r="B50" s="2">
        <v>495.62388985637557</v>
      </c>
      <c r="C50" s="2">
        <v>13809.455555555551</v>
      </c>
      <c r="D50" s="2">
        <v>247.31194492818778</v>
      </c>
    </row>
    <row r="51" spans="1:4">
      <c r="A51">
        <v>35</v>
      </c>
      <c r="B51" s="2">
        <v>495.37433371185051</v>
      </c>
      <c r="C51" s="2">
        <v>14253.603703703699</v>
      </c>
      <c r="D51" s="2">
        <v>247.18716685592526</v>
      </c>
    </row>
    <row r="52" spans="1:4">
      <c r="A52">
        <v>36</v>
      </c>
      <c r="B52" s="2">
        <v>495.14300795544005</v>
      </c>
      <c r="C52" s="2">
        <v>14697.751851851846</v>
      </c>
      <c r="D52" s="2">
        <v>247.07150397772003</v>
      </c>
    </row>
    <row r="53" spans="1:4">
      <c r="A53">
        <v>37</v>
      </c>
      <c r="B53" s="2">
        <v>494.9285808345183</v>
      </c>
      <c r="C53" s="2">
        <v>15141.899999999994</v>
      </c>
      <c r="D53" s="2">
        <v>246.96429041725915</v>
      </c>
    </row>
    <row r="54" spans="1:4">
      <c r="A54">
        <v>38</v>
      </c>
      <c r="B54" s="2">
        <v>494.72981788265218</v>
      </c>
      <c r="C54" s="2">
        <v>15586.048148148142</v>
      </c>
      <c r="D54" s="2">
        <v>246.86490894132609</v>
      </c>
    </row>
    <row r="55" spans="1:4">
      <c r="A55">
        <v>39</v>
      </c>
      <c r="B55" s="2">
        <v>494.54557481272377</v>
      </c>
      <c r="C55" s="2">
        <v>16030.19629629629</v>
      </c>
      <c r="D55" s="2">
        <v>246.77278740636189</v>
      </c>
    </row>
    <row r="56" spans="1:4">
      <c r="A56">
        <v>40</v>
      </c>
      <c r="B56" s="2">
        <v>494.37479092921865</v>
      </c>
      <c r="C56" s="2">
        <v>16474.344444444439</v>
      </c>
      <c r="D56" s="2">
        <v>246.68739546460932</v>
      </c>
    </row>
    <row r="57" spans="1:4">
      <c r="A57">
        <v>41</v>
      </c>
      <c r="B57" s="2">
        <v>494.21648302175464</v>
      </c>
      <c r="C57" s="2">
        <v>16918.492592592589</v>
      </c>
      <c r="D57" s="2">
        <v>246.60824151087732</v>
      </c>
    </row>
    <row r="58" spans="1:4">
      <c r="A58">
        <v>42</v>
      </c>
      <c r="B58" s="2">
        <v>494.06973970469659</v>
      </c>
      <c r="C58" s="2">
        <v>17362.640740740739</v>
      </c>
      <c r="D58" s="2">
        <v>246.53486985234829</v>
      </c>
    </row>
    <row r="59" spans="1:4">
      <c r="A59">
        <v>43</v>
      </c>
      <c r="B59" s="2">
        <v>493.9337161702681</v>
      </c>
      <c r="C59" s="2">
        <v>17806.788888888888</v>
      </c>
      <c r="D59" s="2">
        <v>246.46685808513405</v>
      </c>
    </row>
    <row r="60" spans="1:4">
      <c r="A60">
        <v>44</v>
      </c>
      <c r="B60" s="2">
        <v>493.80762932495651</v>
      </c>
      <c r="C60" s="2">
        <v>18250.937037037038</v>
      </c>
      <c r="D60" s="2">
        <v>246.40381466247825</v>
      </c>
    </row>
    <row r="61" spans="1:4">
      <c r="A61">
        <v>45</v>
      </c>
      <c r="B61" s="2">
        <v>493.69075328120852</v>
      </c>
      <c r="C61" s="2">
        <v>18695.085185185188</v>
      </c>
      <c r="D61" s="2">
        <v>246.34537664060426</v>
      </c>
    </row>
    <row r="62" spans="1:4">
      <c r="A62">
        <v>46</v>
      </c>
      <c r="B62" s="2">
        <v>493.58241517846324</v>
      </c>
      <c r="C62" s="2">
        <v>19139.233333333337</v>
      </c>
      <c r="D62" s="2">
        <v>246.29120758923162</v>
      </c>
    </row>
    <row r="63" spans="1:4">
      <c r="A63">
        <v>47</v>
      </c>
      <c r="B63" s="2">
        <v>493.48199130946455</v>
      </c>
      <c r="C63" s="2">
        <v>19583.381481481487</v>
      </c>
      <c r="D63" s="2">
        <v>246.24099565473227</v>
      </c>
    </row>
    <row r="64" spans="1:4">
      <c r="A64">
        <v>48</v>
      </c>
      <c r="B64" s="2">
        <v>493.38890352955036</v>
      </c>
      <c r="C64" s="2">
        <v>20027.529629629636</v>
      </c>
      <c r="D64" s="2">
        <v>246.19445176477518</v>
      </c>
    </row>
    <row r="65" spans="1:4">
      <c r="A65">
        <v>49</v>
      </c>
      <c r="B65" s="2">
        <v>493.30261592824843</v>
      </c>
      <c r="C65" s="2">
        <v>20471.677777777786</v>
      </c>
      <c r="D65" s="2">
        <v>246.15130796412421</v>
      </c>
    </row>
    <row r="66" spans="1:4">
      <c r="A66">
        <v>50</v>
      </c>
      <c r="B66" s="2">
        <v>493.2226317440161</v>
      </c>
      <c r="C66" s="2">
        <v>20915.825925925936</v>
      </c>
      <c r="D66" s="2">
        <v>246.11131587200805</v>
      </c>
    </row>
  </sheetData>
  <phoneticPr fontId="0" type="noConversion"/>
  <pageMargins left="0.75" right="0.75" top="1" bottom="1" header="0.5" footer="0.5"/>
  <pageSetup paperSize="9" orientation="portrait" horizontalDpi="180" verticalDpi="180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AA147"/>
  <sheetViews>
    <sheetView tabSelected="1" workbookViewId="0">
      <selection activeCell="D20" sqref="D20"/>
    </sheetView>
  </sheetViews>
  <sheetFormatPr baseColWidth="10" defaultColWidth="9.109375" defaultRowHeight="12.6"/>
  <cols>
    <col min="1" max="1" width="9.88671875" style="8" customWidth="1"/>
  </cols>
  <sheetData>
    <row r="1" spans="1:19">
      <c r="A1" s="8" t="s">
        <v>9</v>
      </c>
      <c r="F1" t="s">
        <v>10</v>
      </c>
    </row>
    <row r="2" spans="1:19">
      <c r="A2" s="8" t="s">
        <v>11</v>
      </c>
      <c r="F2" t="s">
        <v>12</v>
      </c>
    </row>
    <row r="3" spans="1:19">
      <c r="A3" s="8" t="s">
        <v>13</v>
      </c>
      <c r="B3" t="s">
        <v>14</v>
      </c>
    </row>
    <row r="4" spans="1:19">
      <c r="A4" s="8" t="s">
        <v>15</v>
      </c>
    </row>
    <row r="5" spans="1:19">
      <c r="A5" s="8" t="s">
        <v>16</v>
      </c>
    </row>
    <row r="6" spans="1:19">
      <c r="A6" s="8" t="s">
        <v>17</v>
      </c>
    </row>
    <row r="7" spans="1:19">
      <c r="A7" s="8" t="s">
        <v>18</v>
      </c>
      <c r="D7" s="1"/>
    </row>
    <row r="8" spans="1:19">
      <c r="A8" s="8" t="s">
        <v>19</v>
      </c>
      <c r="D8" s="16">
        <f>'DL6WU - v3'!$D$1</f>
        <v>27</v>
      </c>
      <c r="E8" t="s">
        <v>20</v>
      </c>
      <c r="M8" t="s">
        <v>21</v>
      </c>
      <c r="P8" t="s">
        <v>22</v>
      </c>
    </row>
    <row r="9" spans="1:19">
      <c r="A9" s="8" t="s">
        <v>23</v>
      </c>
      <c r="D9" s="17">
        <f>29980/D8</f>
        <v>1110.3703703703704</v>
      </c>
      <c r="M9">
        <f>D9</f>
        <v>1110.3703703703704</v>
      </c>
      <c r="Q9" t="s">
        <v>24</v>
      </c>
    </row>
    <row r="10" spans="1:19">
      <c r="A10" s="8" t="s">
        <v>25</v>
      </c>
      <c r="D10" s="11">
        <f t="array" ref="D10:D12">'DL6WU - v3'!$D$3:$D$5</f>
        <v>1</v>
      </c>
      <c r="E10" s="12">
        <f xml:space="preserve"> D10/D9</f>
        <v>9.0060040026684451E-4</v>
      </c>
      <c r="M10">
        <v>0.5</v>
      </c>
      <c r="N10">
        <f>M10/M9</f>
        <v>4.5030020013342225E-4</v>
      </c>
      <c r="P10">
        <f xml:space="preserve"> ((12*N10*N10)+(0.15*N10))*M9</f>
        <v>7.770180120080053E-2</v>
      </c>
      <c r="Q10">
        <f xml:space="preserve"> IF(P10&lt;(M10/1.5),P10,M10/1.5)</f>
        <v>7.770180120080053E-2</v>
      </c>
      <c r="S10">
        <v>11</v>
      </c>
    </row>
    <row r="11" spans="1:19">
      <c r="A11" s="8" t="s">
        <v>26</v>
      </c>
      <c r="D11" s="11">
        <v>2.3812500000000001</v>
      </c>
      <c r="E11" s="12">
        <f xml:space="preserve"> D11*0.1/D9</f>
        <v>2.1445547031354238E-4</v>
      </c>
      <c r="M11">
        <f>0.5+M10</f>
        <v>1</v>
      </c>
      <c r="N11">
        <f>M11/M9</f>
        <v>9.0060040026684451E-4</v>
      </c>
      <c r="P11">
        <f xml:space="preserve"> ((12*N11*N11)+(0.15*N11))*M9</f>
        <v>0.16080720480320213</v>
      </c>
      <c r="Q11">
        <f xml:space="preserve"> IF(P11&lt;(M11/1.5),P11,M11/1.5)</f>
        <v>0.16080720480320213</v>
      </c>
      <c r="S11">
        <v>20</v>
      </c>
    </row>
    <row r="12" spans="1:19">
      <c r="A12" s="8" t="s">
        <v>4</v>
      </c>
      <c r="D12" s="11" t="str">
        <v>y</v>
      </c>
      <c r="E12" s="12">
        <f xml:space="preserve"> IF(D12=("N"),0.0001,((12*E10*E10)+(0.15*E10))*D9)</f>
        <v>0.16080720480320213</v>
      </c>
      <c r="M12">
        <f>0.5+M11</f>
        <v>1.5</v>
      </c>
      <c r="N12">
        <f>M12/M9</f>
        <v>1.3509006004002668E-3</v>
      </c>
      <c r="P12">
        <f>((12*N12*N12)+(0.15*N12))*M9</f>
        <v>0.24931621080720481</v>
      </c>
      <c r="Q12">
        <f>IF(P12&lt;(M12/1.5),P12,M12/1.5)</f>
        <v>0.24931621080720481</v>
      </c>
      <c r="S12">
        <v>0</v>
      </c>
    </row>
    <row r="13" spans="1:19">
      <c r="A13" s="8" t="s">
        <v>5</v>
      </c>
      <c r="D13" s="11">
        <f>'DL6WU - v3'!$D$6</f>
        <v>0.8</v>
      </c>
    </row>
    <row r="14" spans="1:19">
      <c r="A14" s="8" t="s">
        <v>27</v>
      </c>
      <c r="D14" s="17" t="e">
        <f xml:space="preserve"> VLOOKUP(D13*100,D26:E75,2)</f>
        <v>#N/A</v>
      </c>
    </row>
    <row r="15" spans="1:19">
      <c r="A15" s="8" t="s">
        <v>7</v>
      </c>
      <c r="D15" s="2">
        <f xml:space="preserve"> IF((D10/E12)&lt;1.5,D10/1.5,E12)</f>
        <v>0.16080720480320213</v>
      </c>
      <c r="M15">
        <f xml:space="preserve"> 0.5+M12</f>
        <v>2</v>
      </c>
      <c r="N15">
        <f>M15/M9</f>
        <v>1.801200800533689E-3</v>
      </c>
      <c r="P15">
        <f xml:space="preserve"> ((12*N15*N15)+(0.15*N15))*M9</f>
        <v>0.34322881921280851</v>
      </c>
      <c r="Q15">
        <f t="shared" ref="Q15:Q21" si="0" xml:space="preserve"> IF(P15&lt;(M15/1.5),P15,M15/1.5)</f>
        <v>0.34322881921280851</v>
      </c>
      <c r="S15">
        <f xml:space="preserve"> IF(D52&gt;1200,1800,1200)</f>
        <v>1800</v>
      </c>
    </row>
    <row r="16" spans="1:19" hidden="1">
      <c r="A16" s="8" t="s">
        <v>28</v>
      </c>
      <c r="D16" s="3">
        <v>0.51793</v>
      </c>
      <c r="E16" s="3">
        <f xml:space="preserve"> (E11^0.2078146)*-0.4327718</f>
        <v>-7.4792361632745885E-2</v>
      </c>
      <c r="F16" s="3">
        <f xml:space="preserve"> E11^0.1996231*0.1793871+0.0073443</f>
        <v>4.0567491830920351E-2</v>
      </c>
      <c r="G16" s="3">
        <f xml:space="preserve"> EXP(1)^(-0.075857)*F16</f>
        <v>3.7603985873878663E-2</v>
      </c>
      <c r="H16" s="3">
        <f xml:space="preserve"> G16+E16+D16</f>
        <v>0.48074162424113276</v>
      </c>
      <c r="M16">
        <f t="shared" ref="M16:M21" si="1" xml:space="preserve"> 0.5+M15</f>
        <v>2.5</v>
      </c>
      <c r="N16">
        <f xml:space="preserve"> +M16/M9</f>
        <v>2.2515010006671113E-3</v>
      </c>
      <c r="P16">
        <f xml:space="preserve"> ((12*N16*N16)+(0.15*N16))*M9</f>
        <v>0.44254503002001333</v>
      </c>
      <c r="Q16">
        <f t="shared" si="0"/>
        <v>0.44254503002001333</v>
      </c>
      <c r="S16">
        <v>40</v>
      </c>
    </row>
    <row r="17" spans="1:27">
      <c r="G17" t="s">
        <v>29</v>
      </c>
      <c r="M17">
        <f t="shared" si="1"/>
        <v>3</v>
      </c>
      <c r="N17">
        <f>M17/M9</f>
        <v>2.7018012008005335E-3</v>
      </c>
      <c r="P17">
        <f xml:space="preserve"> ((12*N17*N17)+(0.15*N17))*M9</f>
        <v>0.54726484322881919</v>
      </c>
      <c r="Q17">
        <f t="shared" si="0"/>
        <v>0.54726484322881919</v>
      </c>
      <c r="S17">
        <v>4</v>
      </c>
    </row>
    <row r="18" spans="1:27">
      <c r="A18" s="8" t="s">
        <v>30</v>
      </c>
      <c r="D18" s="4">
        <f xml:space="preserve"> +H16*D9*1.079+D15</f>
        <v>576.13236173940857</v>
      </c>
      <c r="G18" s="3" t="s">
        <v>31</v>
      </c>
      <c r="H18" t="s">
        <v>32</v>
      </c>
      <c r="M18">
        <f t="shared" si="1"/>
        <v>3.5</v>
      </c>
      <c r="N18">
        <f xml:space="preserve"> +M18/M9</f>
        <v>3.1521014009339558E-3</v>
      </c>
      <c r="P18">
        <f xml:space="preserve"> ((12*N18*N18)+(0.15*N18))*M9</f>
        <v>0.65738825883922614</v>
      </c>
      <c r="Q18">
        <f t="shared" si="0"/>
        <v>0.65738825883922614</v>
      </c>
      <c r="S18">
        <v>20</v>
      </c>
    </row>
    <row r="19" spans="1:27">
      <c r="A19" s="8" t="s">
        <v>33</v>
      </c>
      <c r="D19" s="4">
        <f xml:space="preserve"> 0.24*D9</f>
        <v>266.48888888888888</v>
      </c>
      <c r="F19" t="s">
        <v>34</v>
      </c>
      <c r="M19">
        <f t="shared" si="1"/>
        <v>4</v>
      </c>
      <c r="N19">
        <f xml:space="preserve"> +M19/M9</f>
        <v>3.602401601067378E-3</v>
      </c>
      <c r="P19">
        <f xml:space="preserve"> ((12*N19*N19)+(0.15*N19))*M9</f>
        <v>0.77291527685123407</v>
      </c>
      <c r="Q19">
        <f t="shared" si="0"/>
        <v>0.77291527685123407</v>
      </c>
      <c r="S19">
        <v>0.31</v>
      </c>
    </row>
    <row r="20" spans="1:27">
      <c r="A20" s="8" t="s">
        <v>35</v>
      </c>
      <c r="D20" s="4">
        <f xml:space="preserve"> H16*D9*1.0472+D15</f>
        <v>559.15748181892616</v>
      </c>
      <c r="F20" s="4">
        <f xml:space="preserve"> 0.98*D8</f>
        <v>26.46</v>
      </c>
      <c r="G20" s="1" t="s">
        <v>36</v>
      </c>
      <c r="H20" s="4">
        <f xml:space="preserve"> 1.02*D8</f>
        <v>27.54</v>
      </c>
      <c r="I20" t="s">
        <v>37</v>
      </c>
      <c r="M20">
        <f t="shared" si="1"/>
        <v>4.5</v>
      </c>
      <c r="N20">
        <f xml:space="preserve"> +M20/M9</f>
        <v>4.0527018012008007E-3</v>
      </c>
      <c r="P20">
        <f xml:space="preserve"> ((12*N20*N20)+(0.15*N20))*M9</f>
        <v>0.89384589726484331</v>
      </c>
      <c r="Q20">
        <f t="shared" si="0"/>
        <v>0.89384589726484331</v>
      </c>
      <c r="S20">
        <v>0.45</v>
      </c>
      <c r="T20" t="s">
        <v>38</v>
      </c>
    </row>
    <row r="21" spans="1:27">
      <c r="M21">
        <f t="shared" si="1"/>
        <v>5</v>
      </c>
      <c r="N21">
        <f xml:space="preserve"> +M21/M9</f>
        <v>4.5030020013342225E-3</v>
      </c>
      <c r="P21">
        <f xml:space="preserve"> ((12*N21*N21)+(0.15*N21))*M9</f>
        <v>1.0201801200800533</v>
      </c>
      <c r="Q21">
        <f t="shared" si="0"/>
        <v>1.0201801200800533</v>
      </c>
      <c r="T21" t="s">
        <v>39</v>
      </c>
    </row>
    <row r="22" spans="1:27">
      <c r="F22" t="s">
        <v>40</v>
      </c>
      <c r="H22" t="s">
        <v>41</v>
      </c>
      <c r="I22" t="s">
        <v>42</v>
      </c>
      <c r="L22" t="s">
        <v>42</v>
      </c>
      <c r="T22" t="s">
        <v>43</v>
      </c>
      <c r="V22" t="s">
        <v>44</v>
      </c>
    </row>
    <row r="23" spans="1:27">
      <c r="A23" s="8" t="s">
        <v>45</v>
      </c>
      <c r="B23" t="s">
        <v>46</v>
      </c>
      <c r="C23" t="s">
        <v>47</v>
      </c>
      <c r="D23" t="s">
        <v>48</v>
      </c>
      <c r="E23" t="s">
        <v>49</v>
      </c>
      <c r="F23" t="s">
        <v>50</v>
      </c>
      <c r="G23" t="s">
        <v>51</v>
      </c>
      <c r="I23" t="s">
        <v>52</v>
      </c>
      <c r="J23" t="s">
        <v>53</v>
      </c>
      <c r="L23" t="s">
        <v>52</v>
      </c>
      <c r="M23" t="s">
        <v>54</v>
      </c>
      <c r="N23" t="s">
        <v>55</v>
      </c>
      <c r="P23" t="s">
        <v>56</v>
      </c>
      <c r="R23" t="s">
        <v>57</v>
      </c>
      <c r="T23" t="s">
        <v>58</v>
      </c>
    </row>
    <row r="24" spans="1:27">
      <c r="A24" s="8" t="s">
        <v>59</v>
      </c>
      <c r="B24" t="s">
        <v>60</v>
      </c>
      <c r="C24" t="s">
        <v>60</v>
      </c>
      <c r="D24" t="s">
        <v>61</v>
      </c>
      <c r="E24" t="s">
        <v>62</v>
      </c>
      <c r="F24" t="s">
        <v>63</v>
      </c>
      <c r="G24" t="s">
        <v>60</v>
      </c>
      <c r="H24" t="s">
        <v>64</v>
      </c>
      <c r="I24" t="s">
        <v>65</v>
      </c>
      <c r="J24" t="s">
        <v>66</v>
      </c>
      <c r="L24" t="s">
        <v>67</v>
      </c>
      <c r="M24" t="s">
        <v>68</v>
      </c>
      <c r="N24" t="s">
        <v>46</v>
      </c>
      <c r="O24" t="s">
        <v>69</v>
      </c>
      <c r="P24" t="s">
        <v>46</v>
      </c>
      <c r="Q24" t="s">
        <v>69</v>
      </c>
      <c r="R24" t="s">
        <v>64</v>
      </c>
      <c r="T24">
        <v>3.0000000000000001E-3</v>
      </c>
      <c r="U24">
        <v>5.0000000000000001E-3</v>
      </c>
      <c r="V24">
        <v>7.0000000000000001E-3</v>
      </c>
      <c r="W24">
        <v>0.01</v>
      </c>
      <c r="X24">
        <v>1.4999999999999999E-2</v>
      </c>
      <c r="Y24">
        <v>0.02</v>
      </c>
      <c r="Z24">
        <v>0.03</v>
      </c>
    </row>
    <row r="25" spans="1:27">
      <c r="A25" s="8" t="s">
        <v>70</v>
      </c>
      <c r="D25">
        <v>0</v>
      </c>
      <c r="E25">
        <v>0</v>
      </c>
    </row>
    <row r="26" spans="1:27">
      <c r="A26" s="8">
        <v>1</v>
      </c>
      <c r="B26" s="4">
        <f xml:space="preserve"> ((EXP(1)^(-0.075857*A26)*F16)+E16+D16)*D9+D15</f>
        <v>533.96206256588323</v>
      </c>
      <c r="C26" s="4">
        <f xml:space="preserve"> 0.075*D9</f>
        <v>83.277777777777786</v>
      </c>
      <c r="D26" s="4">
        <f xml:space="preserve"> C26+D19</f>
        <v>349.76666666666665</v>
      </c>
      <c r="E26" s="4">
        <f xml:space="preserve"> 7.8*LOG(D26/D9)+9.2</f>
        <v>5.2868223195588833</v>
      </c>
      <c r="F26" s="4">
        <f t="shared" ref="F26:F57" si="2" xml:space="preserve"> ((10.54/(10^((E26+2.14)/10)))^0.5)*57.3</f>
        <v>79.110442081950097</v>
      </c>
      <c r="G26" s="4">
        <f xml:space="preserve"> D9/(SIN(F26/(57.2*2))*2)</f>
        <v>870.58856510947942</v>
      </c>
      <c r="H26" s="4">
        <f t="shared" ref="H26:H57" si="3" xml:space="preserve"> G26/30.5</f>
        <v>28.543887380638669</v>
      </c>
      <c r="I26" s="4">
        <f t="shared" ref="I26:I49" si="4" xml:space="preserve"> 5.6+E26-O26</f>
        <v>10.705741274960038</v>
      </c>
      <c r="J26" s="4">
        <f xml:space="preserve"> +(B26-D10)/2</f>
        <v>266.48103128294161</v>
      </c>
      <c r="K26" s="4"/>
      <c r="L26" s="4">
        <f t="shared" ref="L26:L40" si="5" xml:space="preserve"> E26+8.4-Q26</f>
        <v>13.354950912234228</v>
      </c>
      <c r="M26" s="4">
        <f t="shared" ref="M26:M57" si="6" xml:space="preserve"> (((D26/2)^2)+((G26/2)^2))^0.5</f>
        <v>469.11117307374309</v>
      </c>
      <c r="N26" s="4">
        <f t="shared" ref="N26:N57" si="7" xml:space="preserve"> (D26/2)+G26</f>
        <v>1045.4718984428127</v>
      </c>
      <c r="O26" s="2">
        <f xml:space="preserve"> N26*((D8/100)^0.5)/3000</f>
        <v>0.18108104459884411</v>
      </c>
      <c r="P26" s="4">
        <f t="shared" ref="P26:P57" si="8" xml:space="preserve"> (D26/2)+(2*G26)</f>
        <v>1916.0604635522923</v>
      </c>
      <c r="Q26" s="2">
        <f xml:space="preserve"> P26*((D8/100)^0.5)/3000</f>
        <v>0.33187140732465459</v>
      </c>
      <c r="R26" s="4">
        <f t="shared" ref="R26:R65" si="9" xml:space="preserve"> +D26/30.5</f>
        <v>11.467759562841529</v>
      </c>
      <c r="S26" s="4">
        <f xml:space="preserve"> (B26-D15)/D9</f>
        <v>0.48074162424113276</v>
      </c>
      <c r="T26" s="4">
        <f xml:space="preserve"> 0.447473892897559</f>
        <v>0.44747389289755901</v>
      </c>
      <c r="U26" s="4">
        <f xml:space="preserve"> 0.438578476489382</f>
        <v>0.43857847648938197</v>
      </c>
      <c r="V26" s="4">
        <f xml:space="preserve"> 0.432167811239964</f>
        <v>0.43216781123996401</v>
      </c>
      <c r="W26" s="4">
        <f xml:space="preserve"> 0.424851588100767</f>
        <v>0.42485158810076701</v>
      </c>
      <c r="X26" s="4">
        <f xml:space="preserve"> 0.415831033969243</f>
        <v>0.41583103396924298</v>
      </c>
      <c r="Y26" s="4">
        <f xml:space="preserve"> 0.408941857879344</f>
        <v>0.40894185787934401</v>
      </c>
      <c r="Z26" s="4">
        <f xml:space="preserve"> 0.39848712562391</f>
        <v>0.39848712562390998</v>
      </c>
      <c r="AA26">
        <f xml:space="preserve"> 1</f>
        <v>1</v>
      </c>
    </row>
    <row r="27" spans="1:27">
      <c r="A27" s="8">
        <f t="shared" ref="A27:A58" si="10" xml:space="preserve"> 1+A26</f>
        <v>2</v>
      </c>
      <c r="B27" s="4">
        <f xml:space="preserve"> ((EXP(1)^(-0.075857*A27)*F16)+E16+D16)*D9+D15</f>
        <v>530.91185501110454</v>
      </c>
      <c r="C27" s="4">
        <f xml:space="preserve"> 0.18*D9</f>
        <v>199.86666666666667</v>
      </c>
      <c r="D27" s="4">
        <f t="shared" ref="D27:D58" si="11" xml:space="preserve"> D26+C27</f>
        <v>549.63333333333333</v>
      </c>
      <c r="E27" s="4">
        <f xml:space="preserve"> 7.8*LOG(D27/D9)+9.2</f>
        <v>6.8179205516818353</v>
      </c>
      <c r="F27" s="4">
        <f t="shared" si="2"/>
        <v>66.325250637814733</v>
      </c>
      <c r="G27" s="4">
        <f xml:space="preserve"> D9/(SIN(F27/(57.2*2))*2)</f>
        <v>1013.4291111927278</v>
      </c>
      <c r="H27" s="4">
        <f t="shared" si="3"/>
        <v>33.227183973532057</v>
      </c>
      <c r="I27" s="4">
        <f t="shared" si="4"/>
        <v>12.194789837692978</v>
      </c>
      <c r="J27" s="4">
        <f xml:space="preserve"> +(B27-D10)/2</f>
        <v>264.95592750555227</v>
      </c>
      <c r="K27" s="4"/>
      <c r="L27" s="4">
        <f t="shared" si="5"/>
        <v>14.819258766647462</v>
      </c>
      <c r="M27" s="4">
        <f t="shared" si="6"/>
        <v>576.44066575060299</v>
      </c>
      <c r="N27" s="4">
        <f t="shared" si="7"/>
        <v>1288.2457778593944</v>
      </c>
      <c r="O27" s="2">
        <f xml:space="preserve"> N27*((D8/100)^0.5)/3000</f>
        <v>0.22313071398885609</v>
      </c>
      <c r="P27" s="4">
        <f t="shared" si="8"/>
        <v>2301.6748890521221</v>
      </c>
      <c r="Q27" s="2">
        <f xml:space="preserve"> P27*((D8/100)^0.5)/3000</f>
        <v>0.39866178503437344</v>
      </c>
      <c r="R27" s="4">
        <f t="shared" si="9"/>
        <v>18.020765027322405</v>
      </c>
      <c r="S27" s="4">
        <f xml:space="preserve"> (B27-D15)/D9</f>
        <v>0.47799460609640215</v>
      </c>
      <c r="T27" s="4">
        <f xml:space="preserve"> 0.443167235647379</f>
        <v>0.44316723564737898</v>
      </c>
      <c r="U27" s="4">
        <f xml:space="preserve"> 0.433862874721901</f>
        <v>0.43386287472190099</v>
      </c>
      <c r="V27" s="4">
        <f xml:space="preserve"> 0.427159145271879</f>
        <v>0.42715914527187898</v>
      </c>
      <c r="W27" s="4">
        <f xml:space="preserve"> 0.419510000125464</f>
        <v>0.41951000012546402</v>
      </c>
      <c r="X27" s="4">
        <f xml:space="preserve"> 0.41008104466394</f>
        <v>0.41008104466394002</v>
      </c>
      <c r="Y27" s="4">
        <f xml:space="preserve"> 0.402881388407158</f>
        <v>0.40288138840715798</v>
      </c>
      <c r="Z27" s="4">
        <f xml:space="preserve"> 0.391957648758635</f>
        <v>0.39195764875863498</v>
      </c>
    </row>
    <row r="28" spans="1:27">
      <c r="A28" s="8">
        <f t="shared" si="10"/>
        <v>3</v>
      </c>
      <c r="B28" s="4">
        <f xml:space="preserve"> ((EXP(1)^(-0.075857*A28)*F16)+E16+D16)*D9+D15</f>
        <v>528.08446892866323</v>
      </c>
      <c r="C28" s="4">
        <f xml:space="preserve"> 0.215*D9</f>
        <v>238.72962962962964</v>
      </c>
      <c r="D28" s="4">
        <f t="shared" si="11"/>
        <v>788.36296296296291</v>
      </c>
      <c r="E28" s="4">
        <f xml:space="preserve"> 7.8*LOG(D28/D9)+9.2</f>
        <v>8.039815120008786</v>
      </c>
      <c r="F28" s="4">
        <f t="shared" si="2"/>
        <v>57.62144849180816</v>
      </c>
      <c r="G28" s="4">
        <f xml:space="preserve"> D9/(SIN(F28/(57.2*2))*2)</f>
        <v>1150.2726770526585</v>
      </c>
      <c r="H28" s="4">
        <f t="shared" si="3"/>
        <v>37.713858264021589</v>
      </c>
      <c r="I28" s="4">
        <f t="shared" si="4"/>
        <v>13.372307812754569</v>
      </c>
      <c r="J28" s="4">
        <f xml:space="preserve"> +(B28-D10)/2</f>
        <v>263.54223446433161</v>
      </c>
      <c r="K28" s="4"/>
      <c r="L28" s="4">
        <f t="shared" si="5"/>
        <v>15.973074740833225</v>
      </c>
      <c r="M28" s="4">
        <f t="shared" si="6"/>
        <v>697.25235620713966</v>
      </c>
      <c r="N28" s="4">
        <f t="shared" si="7"/>
        <v>1544.4541585341399</v>
      </c>
      <c r="O28" s="2">
        <f xml:space="preserve"> N28*((D8/100)^0.5)/3000</f>
        <v>0.26750730725421679</v>
      </c>
      <c r="P28" s="4">
        <f t="shared" si="8"/>
        <v>2694.7268355867986</v>
      </c>
      <c r="Q28" s="2">
        <f xml:space="preserve"> P28*((D8/100)^0.5)/3000</f>
        <v>0.46674037917556399</v>
      </c>
      <c r="R28" s="4">
        <f t="shared" si="9"/>
        <v>25.847965998785668</v>
      </c>
      <c r="S28" s="4">
        <f xml:space="preserve"> (B28-D15)/D9</f>
        <v>0.47544826105884658</v>
      </c>
      <c r="T28" s="4">
        <f xml:space="preserve"> 0.439175185089402</f>
        <v>0.43917518508940201</v>
      </c>
      <c r="U28" s="4">
        <f xml:space="preserve"> 0.429491753554484</f>
        <v>0.42949175355448399</v>
      </c>
      <c r="V28" s="4">
        <f xml:space="preserve"> 0.42251636860982</f>
        <v>0.42251636860982</v>
      </c>
      <c r="W28" s="4">
        <f xml:space="preserve"> 0.414558621824717</f>
        <v>0.41455862182471698</v>
      </c>
      <c r="X28" s="4">
        <f xml:space="preserve"> 0.404751099260543</f>
        <v>0.40475109926054298</v>
      </c>
      <c r="Y28" s="4">
        <f xml:space="preserve"> 0.397263643800934</f>
        <v>0.39726364380093399</v>
      </c>
      <c r="Z28" s="4">
        <f xml:space="preserve"> 0.385905158335294</f>
        <v>0.38590515833529399</v>
      </c>
    </row>
    <row r="29" spans="1:27">
      <c r="A29" s="8">
        <f t="shared" si="10"/>
        <v>4</v>
      </c>
      <c r="B29" s="4">
        <f xml:space="preserve"> ((EXP(1)^(-0.075857*A29)*F16)+E16+D16)*D9+D15</f>
        <v>525.4636269316461</v>
      </c>
      <c r="C29" s="4">
        <f xml:space="preserve"> 0.25*D9</f>
        <v>277.59259259259261</v>
      </c>
      <c r="D29" s="4">
        <f t="shared" si="11"/>
        <v>1065.9555555555555</v>
      </c>
      <c r="E29" s="4">
        <f xml:space="preserve"> 7.8*LOG(D29/D9)+9.2</f>
        <v>9.0617156177086322</v>
      </c>
      <c r="F29" s="4">
        <f t="shared" si="2"/>
        <v>51.225846822207551</v>
      </c>
      <c r="G29" s="4">
        <f xml:space="preserve"> D9/(SIN(F29/(57.2*2))*2)</f>
        <v>1282.2894501320895</v>
      </c>
      <c r="H29" s="4">
        <f t="shared" si="3"/>
        <v>42.042277053511135</v>
      </c>
      <c r="I29" s="4">
        <f t="shared" si="4"/>
        <v>14.347302110903172</v>
      </c>
      <c r="J29" s="4">
        <f xml:space="preserve"> +(B29-D10)/2</f>
        <v>262.23181346582305</v>
      </c>
      <c r="K29" s="4"/>
      <c r="L29" s="4">
        <f t="shared" si="5"/>
        <v>16.925203063139339</v>
      </c>
      <c r="M29" s="4">
        <f t="shared" si="6"/>
        <v>833.74568669646044</v>
      </c>
      <c r="N29" s="4">
        <f t="shared" si="7"/>
        <v>1815.2672279098674</v>
      </c>
      <c r="O29" s="2">
        <f xml:space="preserve"> N29*((D8/100)^0.5)/3000</f>
        <v>0.31441350680546037</v>
      </c>
      <c r="P29" s="4">
        <f t="shared" si="8"/>
        <v>3097.5566780419567</v>
      </c>
      <c r="Q29" s="2">
        <f xml:space="preserve"> P29*((D8/100)^0.5)/3000</f>
        <v>0.53651255456929403</v>
      </c>
      <c r="R29" s="4">
        <f t="shared" si="9"/>
        <v>34.949362477231325</v>
      </c>
      <c r="S29">
        <f xml:space="preserve"> (B29-D15)/D9</f>
        <v>0.47308792970729679</v>
      </c>
      <c r="T29">
        <f xml:space="preserve"> 0.43547475881174</f>
        <v>0.43547475881174003</v>
      </c>
      <c r="U29">
        <f xml:space="preserve"> 0.425439948248953</f>
        <v>0.42543994824895298</v>
      </c>
      <c r="V29">
        <f xml:space="preserve"> 0.418212752582897</f>
        <v>0.41821275258289697</v>
      </c>
      <c r="W29">
        <f xml:space="preserve"> 0.409968947894331</f>
        <v>0.40996894789433103</v>
      </c>
      <c r="X29">
        <f xml:space="preserve"> 0.399810513027279</f>
        <v>0.39981051302727899</v>
      </c>
      <c r="Y29">
        <f xml:space="preserve"> 0.392056282456142</f>
        <v>0.39205628245614199</v>
      </c>
      <c r="Z29" s="4">
        <f>0.380294809898429</f>
        <v>0.38029480989842901</v>
      </c>
    </row>
    <row r="30" spans="1:27">
      <c r="A30" s="8">
        <f t="shared" si="10"/>
        <v>5</v>
      </c>
      <c r="B30" s="4">
        <f xml:space="preserve"> ((EXP(1)^(-0.075857*A30)*F16)+E16+D16)*D9+D15</f>
        <v>523.03424071658844</v>
      </c>
      <c r="C30" s="4">
        <f xml:space="preserve"> 0.28*D9</f>
        <v>310.90370370370374</v>
      </c>
      <c r="D30" s="4">
        <f t="shared" si="11"/>
        <v>1376.8592592592593</v>
      </c>
      <c r="E30" s="4">
        <f xml:space="preserve"> 7.8*LOG(D30/D9)+9.2</f>
        <v>9.9286891442654337</v>
      </c>
      <c r="F30" s="4">
        <f t="shared" si="2"/>
        <v>46.359684337110416</v>
      </c>
      <c r="G30" s="4">
        <f xml:space="preserve"> D9/(SIN(F30/(57.2*2))*2)</f>
        <v>1408.237470868356</v>
      </c>
      <c r="H30" s="4">
        <f t="shared" si="3"/>
        <v>46.171720356339542</v>
      </c>
      <c r="I30" s="4">
        <f t="shared" si="4"/>
        <v>15.16553574980337</v>
      </c>
      <c r="J30" s="4">
        <f xml:space="preserve"> +(B30-D10)/2</f>
        <v>261.01712035829422</v>
      </c>
      <c r="K30" s="4"/>
      <c r="L30" s="4">
        <f t="shared" si="5"/>
        <v>17.72162186493674</v>
      </c>
      <c r="M30" s="4">
        <f t="shared" si="6"/>
        <v>984.74288448376967</v>
      </c>
      <c r="N30" s="4">
        <f t="shared" si="7"/>
        <v>2096.6671004979858</v>
      </c>
      <c r="O30" s="2">
        <f xml:space="preserve"> N30*((D8/100)^0.5)/3000</f>
        <v>0.36315339446206335</v>
      </c>
      <c r="P30" s="4">
        <f t="shared" si="8"/>
        <v>3504.9045713663418</v>
      </c>
      <c r="Q30" s="2">
        <f xml:space="preserve"> P30*((D8/100)^0.5)/3000</f>
        <v>0.6070672793286922</v>
      </c>
      <c r="R30" s="4">
        <f t="shared" si="9"/>
        <v>45.142926533090467</v>
      </c>
      <c r="S30">
        <f xml:space="preserve"> (B30-D15)/D9</f>
        <v>0.47090002350961313</v>
      </c>
      <c r="T30">
        <f xml:space="preserve"> 0.432044653296405</f>
        <v>0.43204465329640501</v>
      </c>
      <c r="U30">
        <f xml:space="preserve"> 0.421684132382695</f>
        <v>0.42168413238269498</v>
      </c>
      <c r="V30">
        <f xml:space="preserve"> 0.414223521083017</f>
        <v>0.41422352108301702</v>
      </c>
      <c r="W30">
        <f xml:space="preserve"> 0.405714555378193</f>
        <v>0.40571455537819301</v>
      </c>
      <c r="X30">
        <f xml:space="preserve"> 0.395230842790364</f>
        <v>0.39523084279036402</v>
      </c>
      <c r="Y30">
        <f xml:space="preserve"> 0.387229325362865</f>
        <v>0.38722932536286497</v>
      </c>
      <c r="Z30">
        <f xml:space="preserve"> 0.375094304423585</f>
        <v>0.37509430442358499</v>
      </c>
      <c r="AA30">
        <v>5</v>
      </c>
    </row>
    <row r="31" spans="1:27">
      <c r="A31" s="8">
        <f t="shared" si="10"/>
        <v>6</v>
      </c>
      <c r="B31" s="4">
        <f xml:space="preserve"> ((EXP(1)^(-0.075857*A31)*F16)+E16+D16)*D9+D15</f>
        <v>520.78232419944288</v>
      </c>
      <c r="C31" s="4">
        <f xml:space="preserve"> 0.3*D9</f>
        <v>333.11111111111114</v>
      </c>
      <c r="D31" s="4">
        <f t="shared" si="11"/>
        <v>1709.9703703703703</v>
      </c>
      <c r="E31" s="4">
        <f xml:space="preserve"> 7.8*LOG(D31/D9)+9.2</f>
        <v>10.662661622524411</v>
      </c>
      <c r="F31" s="4">
        <f t="shared" si="2"/>
        <v>42.603163247030608</v>
      </c>
      <c r="G31" s="4">
        <f xml:space="preserve"> D9/(SIN(F31/(57.2*2))*2)</f>
        <v>1525.8339391670122</v>
      </c>
      <c r="H31" s="4">
        <f t="shared" si="3"/>
        <v>50.027342267770891</v>
      </c>
      <c r="I31" s="4">
        <f t="shared" si="4"/>
        <v>15.850291653823447</v>
      </c>
      <c r="J31" s="4">
        <f xml:space="preserve"> +(B31-D10)/2</f>
        <v>259.89116209972144</v>
      </c>
      <c r="K31" s="4"/>
      <c r="L31" s="4">
        <f t="shared" si="5"/>
        <v>18.386009463168421</v>
      </c>
      <c r="M31" s="4">
        <f t="shared" si="6"/>
        <v>1145.8804341486182</v>
      </c>
      <c r="N31" s="4">
        <f t="shared" si="7"/>
        <v>2380.8191243521974</v>
      </c>
      <c r="O31" s="2">
        <f xml:space="preserve"> N31*((D8/100)^0.5)/3000</f>
        <v>0.41236996870096509</v>
      </c>
      <c r="P31" s="4">
        <f t="shared" si="8"/>
        <v>3906.6530635192094</v>
      </c>
      <c r="Q31" s="2">
        <f xml:space="preserve"> P31*((D8/100)^0.5)/3000</f>
        <v>0.67665215935598755</v>
      </c>
      <c r="R31" s="4">
        <f t="shared" si="9"/>
        <v>56.064602307225258</v>
      </c>
      <c r="S31">
        <f xml:space="preserve"> (B31-D15)/D9</f>
        <v>0.46887194659290432</v>
      </c>
      <c r="T31">
        <f xml:space="preserve"> 0.428865121274012</f>
        <v>0.428865121274012</v>
      </c>
      <c r="U31">
        <f xml:space="preserve"> 0.418202683557407</f>
        <v>0.41820268355740697</v>
      </c>
      <c r="V31">
        <f xml:space="preserve"> 0.410525707927737</f>
        <v>0.41052570792773702</v>
      </c>
      <c r="W31">
        <f xml:space="preserve"> 0.401770951550143</f>
        <v>0.40177095155014297</v>
      </c>
      <c r="X31">
        <f xml:space="preserve"> 0.390985723185393</f>
        <v>0.39098572318539299</v>
      </c>
      <c r="Y31">
        <f xml:space="preserve"> 0.38275498351531</f>
        <v>0.38275498351531001</v>
      </c>
      <c r="Z31">
        <f xml:space="preserve"> 0.370273702370392</f>
        <v>0.37027370237039198</v>
      </c>
    </row>
    <row r="32" spans="1:27">
      <c r="A32" s="8">
        <f t="shared" si="10"/>
        <v>7</v>
      </c>
      <c r="B32" s="4">
        <f xml:space="preserve"> ((EXP(1)^(-0.075857*A32)*F16)+E16+D16)*D9+D15</f>
        <v>518.69491299707329</v>
      </c>
      <c r="C32" s="4">
        <f xml:space="preserve"> 0.315*D9</f>
        <v>349.76666666666671</v>
      </c>
      <c r="D32" s="4">
        <f t="shared" si="11"/>
        <v>2059.7370370370372</v>
      </c>
      <c r="E32" s="4">
        <f xml:space="preserve"> 7.8*LOG(D32/D9)+9.2</f>
        <v>11.293082528818303</v>
      </c>
      <c r="F32" s="4">
        <f t="shared" si="2"/>
        <v>39.620577458422353</v>
      </c>
      <c r="G32" s="4">
        <f xml:space="preserve"> D9/(SIN(F32/(57.2*2))*2)</f>
        <v>1635.536077543044</v>
      </c>
      <c r="H32" s="4">
        <f t="shared" si="3"/>
        <v>53.624133689935867</v>
      </c>
      <c r="I32" s="4">
        <f t="shared" si="4"/>
        <v>16.431420910507683</v>
      </c>
      <c r="J32" s="4">
        <f xml:space="preserve"> +(B32-D10)/2</f>
        <v>258.84745649853664</v>
      </c>
      <c r="K32" s="4"/>
      <c r="L32" s="4">
        <f t="shared" si="5"/>
        <v>18.948137752116033</v>
      </c>
      <c r="M32" s="4">
        <f t="shared" si="6"/>
        <v>1315.0565503702683</v>
      </c>
      <c r="N32" s="4">
        <f t="shared" si="7"/>
        <v>2665.4045960615626</v>
      </c>
      <c r="O32" s="2">
        <f xml:space="preserve"> N32*((D8/100)^0.5)/3000</f>
        <v>0.46166161831062269</v>
      </c>
      <c r="P32" s="4">
        <f t="shared" si="8"/>
        <v>4300.9406736046067</v>
      </c>
      <c r="Q32" s="2">
        <f xml:space="preserve"> P32*((D8/100)^0.5)/3000</f>
        <v>0.744944776702269</v>
      </c>
      <c r="R32" s="4">
        <f t="shared" si="9"/>
        <v>67.532361870066794</v>
      </c>
      <c r="S32">
        <f xml:space="preserve"> (B32-D15)/D9</f>
        <v>0.46699202322852873</v>
      </c>
      <c r="T32">
        <f xml:space="preserve"> 0.425917858037874</f>
        <v>0.42591785803787402</v>
      </c>
      <c r="U32">
        <f xml:space="preserve"> 0.414975558917993</f>
        <v>0.41497555891799298</v>
      </c>
      <c r="V32">
        <f xml:space="preserve"> 0.40709802464293</f>
        <v>0.40709802464292999</v>
      </c>
      <c r="W32">
        <f xml:space="preserve"> 0.398115432908266</f>
        <v>0.39811543290826601</v>
      </c>
      <c r="X32">
        <f xml:space="preserve"> 0.387050714870765</f>
        <v>0.38705071487076498</v>
      </c>
      <c r="Y32">
        <f xml:space="preserve"> 0.378607497929275</f>
        <v>0.37860749792927501</v>
      </c>
      <c r="Z32">
        <f xml:space="preserve"> 0.365805251319304</f>
        <v>0.36580525131930403</v>
      </c>
    </row>
    <row r="33" spans="1:27">
      <c r="A33" s="8">
        <f t="shared" si="10"/>
        <v>8</v>
      </c>
      <c r="B33" s="4">
        <f xml:space="preserve"> ((EXP(1)^(-0.075857*A33)*F16)+E16+D16)*D9+D15</f>
        <v>516.75998979072767</v>
      </c>
      <c r="C33" s="4">
        <f xml:space="preserve"> 0.33*D9</f>
        <v>366.42222222222227</v>
      </c>
      <c r="D33" s="4">
        <f t="shared" si="11"/>
        <v>2426.1592592592597</v>
      </c>
      <c r="E33" s="4">
        <f xml:space="preserve"> 7.8*LOG(D33/D9)+9.2</f>
        <v>11.847721242190236</v>
      </c>
      <c r="F33" s="4">
        <f t="shared" si="2"/>
        <v>37.169683688622015</v>
      </c>
      <c r="G33" s="4">
        <f xml:space="preserve"> D9/(SIN(F33/(57.2*2))*2)</f>
        <v>1739.1748564059938</v>
      </c>
      <c r="H33" s="4">
        <f t="shared" si="3"/>
        <v>57.022126439540777</v>
      </c>
      <c r="I33" s="4">
        <f t="shared" si="4"/>
        <v>16.93637576552155</v>
      </c>
      <c r="J33" s="4">
        <f xml:space="preserve"> +(B33-D10)/2</f>
        <v>257.87999489536384</v>
      </c>
      <c r="K33" s="4"/>
      <c r="L33" s="4">
        <f t="shared" si="5"/>
        <v>19.435141844067406</v>
      </c>
      <c r="M33" s="4">
        <f t="shared" si="6"/>
        <v>1492.5630583365858</v>
      </c>
      <c r="N33" s="4">
        <f t="shared" si="7"/>
        <v>2952.2544860356238</v>
      </c>
      <c r="O33" s="2">
        <f xml:space="preserve"> N33*((D8/100)^0.5)/3000</f>
        <v>0.51134547666868435</v>
      </c>
      <c r="P33" s="4">
        <f t="shared" si="8"/>
        <v>4691.4293424416173</v>
      </c>
      <c r="Q33" s="2">
        <f xml:space="preserve"> P33*((D8/100)^0.5)/3000</f>
        <v>0.8125793981228332</v>
      </c>
      <c r="R33" s="4">
        <f t="shared" si="9"/>
        <v>79.546205221615068</v>
      </c>
      <c r="S33">
        <f xml:space="preserve"> (B33-D15)/D9</f>
        <v>0.46524943061440827</v>
      </c>
      <c r="T33">
        <f xml:space="preserve"> 0.423185896062994</f>
        <v>0.423185896062994</v>
      </c>
      <c r="U33">
        <f xml:space="preserve"> 0.411984179764962</f>
        <v>0.41198417976496199</v>
      </c>
      <c r="V33">
        <f xml:space="preserve"> 0.403920737904098</f>
        <v>0.40392073790409799</v>
      </c>
      <c r="W33">
        <f xml:space="preserve"> 0.394726954469821</f>
        <v>0.39472695446982098</v>
      </c>
      <c r="X33">
        <f xml:space="preserve"> 0.383403163829316</f>
        <v>0.383403163829316</v>
      </c>
      <c r="Y33">
        <f xml:space="preserve"> 0.37476299134653</f>
        <v>0.37476299134653002</v>
      </c>
      <c r="Z33">
        <f xml:space="preserve"> 0.361663226199694</f>
        <v>0.36166322619969399</v>
      </c>
    </row>
    <row r="34" spans="1:27">
      <c r="A34" s="8">
        <f t="shared" si="10"/>
        <v>9</v>
      </c>
      <c r="B34" s="4">
        <f xml:space="preserve"> ((EXP(1)^(-0.075857*A34)*F16)+E16+D16)*D9+D15</f>
        <v>514.96641514180158</v>
      </c>
      <c r="C34" s="4">
        <f xml:space="preserve"> 0.345*D9</f>
        <v>383.07777777777778</v>
      </c>
      <c r="D34" s="4">
        <f t="shared" si="11"/>
        <v>2809.2370370370372</v>
      </c>
      <c r="E34" s="4">
        <f xml:space="preserve"> 7.8*LOG(D34/D9)+9.2</f>
        <v>12.344340065171378</v>
      </c>
      <c r="F34" s="4">
        <f t="shared" si="2"/>
        <v>35.10410655443895</v>
      </c>
      <c r="G34" s="4">
        <f xml:space="preserve"> D9/(SIN(F34/(57.2*2))*2)</f>
        <v>1837.9892868889337</v>
      </c>
      <c r="H34" s="4">
        <f t="shared" si="3"/>
        <v>60.261943832424059</v>
      </c>
      <c r="I34" s="4">
        <f t="shared" si="4"/>
        <v>17.382703918372865</v>
      </c>
      <c r="J34" s="4">
        <f xml:space="preserve"> +(B34-D10)/2</f>
        <v>256.98320757090079</v>
      </c>
      <c r="K34" s="4"/>
      <c r="L34" s="4">
        <f t="shared" si="5"/>
        <v>19.864354835506973</v>
      </c>
      <c r="M34" s="4">
        <f t="shared" si="6"/>
        <v>1678.5423251276034</v>
      </c>
      <c r="N34" s="4">
        <f t="shared" si="7"/>
        <v>3242.6078054074524</v>
      </c>
      <c r="O34" s="2">
        <f xml:space="preserve"> N34*((D8/100)^0.5)/3000</f>
        <v>0.56163614679851237</v>
      </c>
      <c r="P34" s="4">
        <f t="shared" si="8"/>
        <v>5080.5970922963861</v>
      </c>
      <c r="Q34" s="2">
        <f xml:space="preserve"> P34*((D8/100)^0.5)/3000</f>
        <v>0.87998522966440451</v>
      </c>
      <c r="R34" s="4">
        <f t="shared" si="9"/>
        <v>92.106132361870067</v>
      </c>
      <c r="S34">
        <f xml:space="preserve"> (B34-D15)/D9</f>
        <v>0.46363413656767699</v>
      </c>
      <c r="T34">
        <f xml:space="preserve"> 0.420653507323272</f>
        <v>0.420653507323272</v>
      </c>
      <c r="U34">
        <f xml:space="preserve"> 0.409211324596029</f>
        <v>0.40921132459602899</v>
      </c>
      <c r="V34">
        <f xml:space="preserve"> 0.400975555930753</f>
        <v>0.40097555593075301</v>
      </c>
      <c r="W34">
        <f xml:space="preserve"> 0.391586008614349</f>
        <v>0.391586008614349</v>
      </c>
      <c r="X34">
        <f xml:space="preserve"> 0.380022070948135</f>
        <v>0.380022070948135</v>
      </c>
      <c r="Y34">
        <f xml:space="preserve"> 0.371199330772392</f>
        <v>0.37119933077239198</v>
      </c>
      <c r="Z34">
        <f xml:space="preserve"> 0.357823781189481</f>
        <v>0.35782378118948099</v>
      </c>
    </row>
    <row r="35" spans="1:27">
      <c r="A35" s="8">
        <f t="shared" si="10"/>
        <v>10</v>
      </c>
      <c r="B35" s="4">
        <f xml:space="preserve"> ((EXP(1)^(-0.075857*A35)*F16)+E16+D16)*D9+D15</f>
        <v>513.30386336159609</v>
      </c>
      <c r="C35" s="4">
        <f xml:space="preserve"> 0.36*D9</f>
        <v>399.73333333333335</v>
      </c>
      <c r="D35" s="4">
        <f t="shared" si="11"/>
        <v>3208.9703703703708</v>
      </c>
      <c r="E35" s="4">
        <f xml:space="preserve"> 7.8*LOG(D35/D9)+9.2</f>
        <v>12.795003173501073</v>
      </c>
      <c r="F35" s="4">
        <f t="shared" si="2"/>
        <v>33.329190737477944</v>
      </c>
      <c r="G35" s="4">
        <f xml:space="preserve"> D9/(SIN(F35/(57.2*2))*2)</f>
        <v>1932.8596002496461</v>
      </c>
      <c r="H35" s="4">
        <f t="shared" si="3"/>
        <v>63.372445909824464</v>
      </c>
      <c r="I35" s="4">
        <f t="shared" si="4"/>
        <v>17.782317084274879</v>
      </c>
      <c r="J35" s="4">
        <f xml:space="preserve"> +(B35-D10)/2</f>
        <v>256.15193168079804</v>
      </c>
      <c r="K35" s="4"/>
      <c r="L35" s="4">
        <f t="shared" si="5"/>
        <v>20.24753598112191</v>
      </c>
      <c r="M35" s="4">
        <f t="shared" si="6"/>
        <v>1873.0614693725468</v>
      </c>
      <c r="N35" s="4">
        <f t="shared" si="7"/>
        <v>3537.3447854348315</v>
      </c>
      <c r="O35" s="2">
        <f xml:space="preserve"> N35*((D8/100)^0.5)/3000</f>
        <v>0.61268608922619572</v>
      </c>
      <c r="P35" s="4">
        <f t="shared" si="8"/>
        <v>5470.2043856844775</v>
      </c>
      <c r="Q35" s="2">
        <f xml:space="preserve"> P35*((D8/100)^0.5)/3000</f>
        <v>0.94746719237916144</v>
      </c>
      <c r="R35" s="4">
        <f t="shared" si="9"/>
        <v>105.21214329083183</v>
      </c>
      <c r="S35">
        <f xml:space="preserve"> (B35-D15)/D9</f>
        <v>0.46213684176895958</v>
      </c>
      <c r="T35">
        <f xml:space="preserve"> 0.418306112744565</f>
        <v>0.41830611274456497</v>
      </c>
      <c r="U35">
        <f xml:space="preserve"> 0.406641029961167</f>
        <v>0.40664102996116702</v>
      </c>
      <c r="V35">
        <f xml:space="preserve"> 0.398245523179818</f>
        <v>0.39824552317981798</v>
      </c>
      <c r="W35">
        <f xml:space="preserve"> 0.388674512777434</f>
        <v>0.38867451277743398</v>
      </c>
      <c r="X35">
        <f xml:space="preserve"> 0.376887971125742</f>
        <v>0.37688797112574202</v>
      </c>
      <c r="Y35">
        <f xml:space="preserve"> 0.367896000055084</f>
        <v>0.36789600005508399</v>
      </c>
      <c r="Z35">
        <f xml:space="preserve"> 0.354264812433678</f>
        <v>0.35426481243367802</v>
      </c>
      <c r="AA35">
        <v>10</v>
      </c>
    </row>
    <row r="36" spans="1:27">
      <c r="A36" s="8">
        <f t="shared" si="10"/>
        <v>11</v>
      </c>
      <c r="B36" s="4">
        <f xml:space="preserve"> ((EXP(1)^(-0.075857*A36)*F16)+E16+D16)*D9+D15</f>
        <v>511.76276306587141</v>
      </c>
      <c r="C36" s="4">
        <f xml:space="preserve"> 0.375*D9</f>
        <v>416.38888888888891</v>
      </c>
      <c r="D36" s="4">
        <f t="shared" si="11"/>
        <v>3625.3592592592595</v>
      </c>
      <c r="E36" s="4">
        <f xml:space="preserve"> 7.8*LOG(D36/D9)+9.2</f>
        <v>13.208288847766521</v>
      </c>
      <c r="F36" s="4">
        <f t="shared" si="2"/>
        <v>31.780482391551239</v>
      </c>
      <c r="G36" s="4">
        <f xml:space="preserve"> D9/(SIN(F36/(57.2*2))*2)</f>
        <v>2024.4351170352179</v>
      </c>
      <c r="H36" s="4">
        <f t="shared" si="3"/>
        <v>66.374921870007142</v>
      </c>
      <c r="I36" s="4">
        <f t="shared" si="4"/>
        <v>18.143681078196991</v>
      </c>
      <c r="J36" s="4">
        <f xml:space="preserve"> +(B36-D10)/2</f>
        <v>255.38138153293571</v>
      </c>
      <c r="K36" s="4"/>
      <c r="L36" s="4">
        <f t="shared" si="5"/>
        <v>20.59303863026383</v>
      </c>
      <c r="M36" s="4">
        <f t="shared" si="6"/>
        <v>2076.1483148960147</v>
      </c>
      <c r="N36" s="4">
        <f t="shared" si="7"/>
        <v>3837.1147466648476</v>
      </c>
      <c r="O36" s="2">
        <f xml:space="preserve"> N36*((D8/100)^0.5)/3000</f>
        <v>0.66460776956952983</v>
      </c>
      <c r="P36" s="4">
        <f t="shared" si="8"/>
        <v>5861.5498637000655</v>
      </c>
      <c r="Q36" s="2">
        <f xml:space="preserve"> P36*((D8/100)^0.5)/3000</f>
        <v>1.0152502175026943</v>
      </c>
      <c r="R36" s="4">
        <f t="shared" si="9"/>
        <v>118.86423800850031</v>
      </c>
      <c r="S36">
        <f xml:space="preserve"> (B36-D15)/D9</f>
        <v>0.46074892622577857</v>
      </c>
      <c r="T36">
        <f xml:space="preserve"> 0.416130198272306</f>
        <v>0.41613019827230602</v>
      </c>
      <c r="U36">
        <f xml:space="preserve"> 0.404258498560313</f>
        <v>0.40425849856031298</v>
      </c>
      <c r="V36">
        <f xml:space="preserve"> 0.395714922731823</f>
        <v>0.39571492273182302</v>
      </c>
      <c r="W36">
        <f xml:space="preserve"> 0.385975705348582</f>
        <v>0.385975705348582</v>
      </c>
      <c r="X36">
        <f xml:space="preserve"> 0.373982821210637</f>
        <v>0.37398282121063697</v>
      </c>
      <c r="Y36">
        <f xml:space="preserve"> 0.36483398177335</f>
        <v>0.36483398177335002</v>
      </c>
      <c r="Z36">
        <f xml:space="preserve"> 0.350965830791515</f>
        <v>0.350965830791515</v>
      </c>
    </row>
    <row r="37" spans="1:27">
      <c r="A37" s="8">
        <f t="shared" si="10"/>
        <v>12</v>
      </c>
      <c r="B37" s="4">
        <f xml:space="preserve"> ((EXP(1)^(-0.075857*A37)*F16)+E16+D16)*D9+D15</f>
        <v>510.33424207196344</v>
      </c>
      <c r="C37" s="4">
        <f xml:space="preserve"> 0.385*D9</f>
        <v>427.49259259259264</v>
      </c>
      <c r="D37" s="4">
        <f t="shared" si="11"/>
        <v>4052.8518518518522</v>
      </c>
      <c r="E37" s="4">
        <f xml:space="preserve"> 7.8*LOG(D37/D9)+9.2</f>
        <v>13.585884342760501</v>
      </c>
      <c r="F37" s="4">
        <f t="shared" si="2"/>
        <v>30.428511652728542</v>
      </c>
      <c r="G37" s="4">
        <f xml:space="preserve"> D9/(SIN(F37/(57.2*2))*2)</f>
        <v>2112.1082263443332</v>
      </c>
      <c r="H37" s="4">
        <f t="shared" si="3"/>
        <v>69.249450044076497</v>
      </c>
      <c r="I37" s="4">
        <f t="shared" si="4"/>
        <v>18.469069200701394</v>
      </c>
      <c r="J37" s="4">
        <f xml:space="preserve"> +(B37-D10)/2</f>
        <v>254.66712103598172</v>
      </c>
      <c r="K37" s="4"/>
      <c r="L37" s="4">
        <f t="shared" si="5"/>
        <v>20.903241324790134</v>
      </c>
      <c r="M37" s="4">
        <f t="shared" si="6"/>
        <v>2285.093504260296</v>
      </c>
      <c r="N37" s="4">
        <f t="shared" si="7"/>
        <v>4138.5341522702593</v>
      </c>
      <c r="O37" s="2">
        <f xml:space="preserve"> N37*((D8/100)^0.5)/3000</f>
        <v>0.71681514205910823</v>
      </c>
      <c r="P37" s="4">
        <f t="shared" si="8"/>
        <v>6250.6423786145924</v>
      </c>
      <c r="Q37" s="2">
        <f xml:space="preserve"> P37*((D8/100)^0.5)/3000</f>
        <v>1.0826430179703654</v>
      </c>
      <c r="R37" s="4">
        <f t="shared" si="9"/>
        <v>132.88038858530663</v>
      </c>
      <c r="S37">
        <f xml:space="preserve"> (B37-D15)/D9</f>
        <v>0.45946239964687546</v>
      </c>
      <c r="T37">
        <f xml:space="preserve"> 0.414113237070499</f>
        <v>0.41411323707049902</v>
      </c>
      <c r="U37">
        <f xml:space="preserve"> 0.402050014054659</f>
        <v>0.40205001405465901</v>
      </c>
      <c r="V37">
        <f xml:space="preserve"> 0.393369185807897</f>
        <v>0.39336918580789698</v>
      </c>
      <c r="W37">
        <f xml:space="preserve"> 0.383474049173883</f>
        <v>0.383474049173883</v>
      </c>
      <c r="X37">
        <f xml:space="preserve"> 0.371289896126079</f>
        <v>0.37128989612607899</v>
      </c>
      <c r="Y37">
        <f xml:space="preserve"> 0.361995647752311</f>
        <v>0.36199564775231102</v>
      </c>
      <c r="Z37">
        <f xml:space="preserve"> 0.347907843879553</f>
        <v>0.34790784387955298</v>
      </c>
    </row>
    <row r="38" spans="1:27">
      <c r="A38" s="8">
        <f t="shared" si="10"/>
        <v>13</v>
      </c>
      <c r="B38" s="4">
        <f xml:space="preserve"> ((EXP(1)^(-0.075857*A38)*F16)+E16+D16)*D9+D15</f>
        <v>509.0100763212352</v>
      </c>
      <c r="C38" s="4">
        <f xml:space="preserve"> 0.39*D9</f>
        <v>433.04444444444448</v>
      </c>
      <c r="D38" s="4">
        <f t="shared" si="11"/>
        <v>4485.8962962962969</v>
      </c>
      <c r="E38" s="4">
        <f xml:space="preserve"> 7.8*LOG(D38/D9)+9.2</f>
        <v>13.929774647862718</v>
      </c>
      <c r="F38" s="4">
        <f t="shared" si="2"/>
        <v>29.24732795912319</v>
      </c>
      <c r="G38" s="4">
        <f xml:space="preserve"> D9/(SIN(F38/(57.2*2))*2)</f>
        <v>2195.4272657090023</v>
      </c>
      <c r="H38" s="4">
        <f t="shared" si="3"/>
        <v>71.98122182652466</v>
      </c>
      <c r="I38" s="4">
        <f t="shared" si="4"/>
        <v>18.761025475876203</v>
      </c>
      <c r="J38" s="4">
        <f xml:space="preserve"> +(B38-D10)/2</f>
        <v>254.0050381606176</v>
      </c>
      <c r="K38" s="4"/>
      <c r="L38" s="4">
        <f t="shared" si="5"/>
        <v>21.180766319023206</v>
      </c>
      <c r="M38" s="4">
        <f t="shared" si="6"/>
        <v>2497.1567061431761</v>
      </c>
      <c r="N38" s="4">
        <f t="shared" si="7"/>
        <v>4438.3754138571512</v>
      </c>
      <c r="O38" s="2">
        <f xml:space="preserve"> N38*((D8/100)^0.5)/3000</f>
        <v>0.76874917198651294</v>
      </c>
      <c r="P38" s="4">
        <f t="shared" si="8"/>
        <v>6633.8026795661535</v>
      </c>
      <c r="Q38" s="2">
        <f xml:space="preserve"> P38*((D8/100)^0.5)/3000</f>
        <v>1.1490083288395139</v>
      </c>
      <c r="R38" s="4">
        <f t="shared" si="9"/>
        <v>147.07856709168186</v>
      </c>
      <c r="S38">
        <f xml:space="preserve"> (B38-D15)/D9</f>
        <v>0.45826985544174997</v>
      </c>
      <c r="T38">
        <f xml:space="preserve"> 0.412243617404166</f>
        <v>0.41224361740416599</v>
      </c>
      <c r="U38">
        <f xml:space="preserve"> 0.400002862101085</f>
        <v>0.40000286210108499</v>
      </c>
      <c r="V38">
        <f xml:space="preserve"> 0.391194807896667</f>
        <v>0.391194807896667</v>
      </c>
      <c r="W38">
        <f xml:space="preserve"> 0.38115514210793</f>
        <v>0.38115514210793</v>
      </c>
      <c r="X38">
        <f xml:space="preserve"> 0.368793692583075</f>
        <v>0.36879369258307498</v>
      </c>
      <c r="Y38">
        <f xml:space="preserve"> 0.359364657577288</f>
        <v>0.35936465757728803</v>
      </c>
      <c r="Z38">
        <f xml:space="preserve"> 0.345073246731688</f>
        <v>0.34507324673168799</v>
      </c>
    </row>
    <row r="39" spans="1:27">
      <c r="A39" s="8">
        <f t="shared" si="10"/>
        <v>14</v>
      </c>
      <c r="B39" s="4">
        <f xml:space="preserve"> ((EXP(1)^(-0.075857*A39)*F16)+E16+D16)*D9+D15</f>
        <v>507.7826425328069</v>
      </c>
      <c r="C39" s="4">
        <f xml:space="preserve"> 0.395*D9</f>
        <v>438.59629629629632</v>
      </c>
      <c r="D39" s="4">
        <f t="shared" si="11"/>
        <v>4924.4925925925936</v>
      </c>
      <c r="E39" s="4">
        <f xml:space="preserve"> 7.8*LOG(D39/D9)+9.2</f>
        <v>14.245770268508412</v>
      </c>
      <c r="F39" s="4">
        <f t="shared" si="2"/>
        <v>28.202422468775644</v>
      </c>
      <c r="G39" s="4">
        <f xml:space="preserve"> D9/(SIN(F39/(57.2*2))*2)</f>
        <v>2275.0210742822478</v>
      </c>
      <c r="H39" s="4">
        <f t="shared" si="3"/>
        <v>74.590854894499927</v>
      </c>
      <c r="I39" s="4">
        <f t="shared" si="4"/>
        <v>19.025251491020384</v>
      </c>
      <c r="J39" s="4">
        <f xml:space="preserve"> +(B39-D10)/2</f>
        <v>253.39132126640345</v>
      </c>
      <c r="K39" s="4"/>
      <c r="L39" s="4">
        <f t="shared" si="5"/>
        <v>21.431206282125711</v>
      </c>
      <c r="M39" s="4">
        <f t="shared" si="6"/>
        <v>2712.3029044949826</v>
      </c>
      <c r="N39" s="4">
        <f t="shared" si="7"/>
        <v>4737.2673705785446</v>
      </c>
      <c r="O39" s="2">
        <f xml:space="preserve"> N39*((D8/100)^0.5)/3000</f>
        <v>0.82051877748802615</v>
      </c>
      <c r="P39" s="4">
        <f t="shared" si="8"/>
        <v>7012.2884448607929</v>
      </c>
      <c r="Q39" s="2">
        <f xml:space="preserve"> P39*((D8/100)^0.5)/3000</f>
        <v>1.2145639863827045</v>
      </c>
      <c r="R39" s="4">
        <f t="shared" si="9"/>
        <v>161.45877352762602</v>
      </c>
      <c r="S39">
        <f xml:space="preserve"> (B39-D15)/D9</f>
        <v>0.45716442808059038</v>
      </c>
      <c r="T39">
        <f xml:space="preserve"> 0.410510575790074</f>
        <v>0.41051057579007399</v>
      </c>
      <c r="U39">
        <f xml:space="preserve"> 0.398105257155117</f>
        <v>0.39810525715511702</v>
      </c>
      <c r="V39">
        <f xml:space="preserve"> 0.389179271008187</f>
        <v>0.389179271008187</v>
      </c>
      <c r="W39">
        <f xml:space="preserve"> 0.379005634100032</f>
        <v>0.37900563410003202</v>
      </c>
      <c r="X39">
        <f xml:space="preserve"> 0.366479839827261</f>
        <v>0.36647983982726101</v>
      </c>
      <c r="Y39">
        <f xml:space="preserve"> 0.356925864521306</f>
        <v>0.35692586452130598</v>
      </c>
      <c r="Z39">
        <f xml:space="preserve"> 0.342445720446586</f>
        <v>0.342445720446586</v>
      </c>
    </row>
    <row r="40" spans="1:27">
      <c r="A40" s="8">
        <f t="shared" si="10"/>
        <v>15</v>
      </c>
      <c r="B40" s="4">
        <f xml:space="preserve"> ((EXP(1)^(-0.075857*A40)*F16)+E16+D16)*D9+D15</f>
        <v>506.64487431599053</v>
      </c>
      <c r="C40" s="4">
        <f xml:space="preserve"> 0.4*D9</f>
        <v>444.14814814814821</v>
      </c>
      <c r="D40" s="4">
        <f t="shared" si="11"/>
        <v>5368.6407407407414</v>
      </c>
      <c r="E40" s="4">
        <f xml:space="preserve"> 7.8*LOG(D40/D9)+9.2</f>
        <v>14.538292531668359</v>
      </c>
      <c r="F40" s="4">
        <f t="shared" si="2"/>
        <v>27.268440484724128</v>
      </c>
      <c r="G40" s="4">
        <f xml:space="preserve"> D9/(SIN(F40/(57.2*2))*2)</f>
        <v>2351.3856759608029</v>
      </c>
      <c r="H40" s="4">
        <f t="shared" si="3"/>
        <v>77.0946123265837</v>
      </c>
      <c r="I40" s="4">
        <f t="shared" si="4"/>
        <v>19.266082659245619</v>
      </c>
      <c r="J40" s="4">
        <f xml:space="preserve"> +(B40-D10)/2</f>
        <v>252.82243715799527</v>
      </c>
      <c r="K40" s="4"/>
      <c r="L40" s="4">
        <f t="shared" si="5"/>
        <v>21.658810713350242</v>
      </c>
      <c r="M40" s="4">
        <f t="shared" si="6"/>
        <v>2930.4998720463605</v>
      </c>
      <c r="N40" s="4">
        <f t="shared" si="7"/>
        <v>5035.7060463311736</v>
      </c>
      <c r="O40" s="2">
        <f xml:space="preserve"> N40*((D8/100)^0.5)/3000</f>
        <v>0.87220987242273884</v>
      </c>
      <c r="P40" s="4">
        <f t="shared" si="8"/>
        <v>7387.0917222919761</v>
      </c>
      <c r="Q40" s="2">
        <f xml:space="preserve"> P40*((D8/100)^0.5)/3000</f>
        <v>1.2794818183181187</v>
      </c>
      <c r="R40" s="4">
        <f t="shared" si="9"/>
        <v>176.02100789313906</v>
      </c>
      <c r="S40">
        <f xml:space="preserve"> (B40-D15)/D9</f>
        <v>0.45613975356911468</v>
      </c>
      <c r="T40">
        <f xml:space="preserve"> 0.408904135030887</f>
        <v>0.40890413503088702</v>
      </c>
      <c r="U40">
        <f xml:space="preserve"> 0.396346274621028</f>
        <v>0.39634627462102801</v>
      </c>
      <c r="V40">
        <f xml:space="preserve"> 0.387310971607312</f>
        <v>0.38731097160731198</v>
      </c>
      <c r="W40">
        <f xml:space="preserve"> 0.377013150337376</f>
        <v>0.37701315033737598</v>
      </c>
      <c r="X40">
        <f xml:space="preserve"> 0.364335016905831</f>
        <v>0.36433501690583098</v>
      </c>
      <c r="Y40">
        <f xml:space="preserve"> 0.354665228344716</f>
        <v>0.35466522834471598</v>
      </c>
      <c r="Z40">
        <f xml:space="preserve"> 0.340010138239038</f>
        <v>0.34001013823903797</v>
      </c>
      <c r="AA40">
        <v>15</v>
      </c>
    </row>
    <row r="41" spans="1:27">
      <c r="A41" s="8">
        <f t="shared" si="10"/>
        <v>16</v>
      </c>
      <c r="B41" s="4">
        <f xml:space="preserve"> ((EXP(1)^(-0.075857*A41)*F16)+E16+D16)*D9+D15</f>
        <v>505.59022148876551</v>
      </c>
      <c r="C41" s="4">
        <f xml:space="preserve"> 0.4*D9</f>
        <v>444.14814814814821</v>
      </c>
      <c r="D41" s="4">
        <f t="shared" si="11"/>
        <v>5812.7888888888892</v>
      </c>
      <c r="E41" s="4">
        <f xml:space="preserve"> 7.8*LOG(D41/D9)+9.2</f>
        <v>14.807550150915915</v>
      </c>
      <c r="F41" s="4">
        <f t="shared" si="2"/>
        <v>26.436102060491006</v>
      </c>
      <c r="G41" s="4">
        <f xml:space="preserve"> D9/(SIN(F41/(57.2*2))*2)</f>
        <v>2424.0334661134461</v>
      </c>
      <c r="H41" s="4">
        <f t="shared" si="3"/>
        <v>79.476507085686762</v>
      </c>
      <c r="I41" s="4">
        <f t="shared" si="4"/>
        <v>19.48429295419897</v>
      </c>
      <c r="J41" s="4">
        <f xml:space="preserve"> +(B41-D10)/2</f>
        <v>252.29511074438275</v>
      </c>
      <c r="K41" s="4"/>
      <c r="L41" s="4">
        <f>E41+8.4-Q41</f>
        <v>21.864438041943387</v>
      </c>
      <c r="M41" s="4">
        <f t="shared" si="6"/>
        <v>3148.9860634666238</v>
      </c>
      <c r="N41" s="4">
        <f t="shared" si="7"/>
        <v>5330.4279105578908</v>
      </c>
      <c r="O41" s="2">
        <f xml:space="preserve"> N41*((D8/100)^0.5)/3000</f>
        <v>0.92325719671694784</v>
      </c>
      <c r="P41" s="4">
        <f t="shared" si="8"/>
        <v>7754.4613766713373</v>
      </c>
      <c r="Q41" s="2">
        <f xml:space="preserve"> P41*((D8/100)^0.5)/3000</f>
        <v>1.343112108972526</v>
      </c>
      <c r="R41" s="4">
        <f t="shared" si="9"/>
        <v>190.58324225865209</v>
      </c>
      <c r="S41">
        <f xml:space="preserve"> (B41-D15)/D9</f>
        <v>0.45518993281077325</v>
      </c>
      <c r="T41">
        <f xml:space="preserve"> 0.407415046775999</f>
        <v>0.40741504677599899</v>
      </c>
      <c r="U41">
        <f xml:space="preserve"> 0.394715787958456</f>
        <v>0.39471578795845602</v>
      </c>
      <c r="V41">
        <f xml:space="preserve"> 0.385579153811637</f>
        <v>0.38557915381163699</v>
      </c>
      <c r="W41">
        <f xml:space="preserve"> 0.375166220002685</f>
        <v>0.37516622000268501</v>
      </c>
      <c r="X41">
        <f xml:space="preserve"> 0.362346875978224</f>
        <v>0.36234687597822401</v>
      </c>
      <c r="Y41">
        <f xml:space="preserve"> 0.352569734464918</f>
        <v>0.35256973446491802</v>
      </c>
      <c r="Z41">
        <f xml:space="preserve"> 0.337752478354394</f>
        <v>0.33775247835439398</v>
      </c>
    </row>
    <row r="42" spans="1:27">
      <c r="A42" s="8">
        <f t="shared" si="10"/>
        <v>17</v>
      </c>
      <c r="B42" s="4">
        <f xml:space="preserve"> ((EXP(1)^(-0.075857*A42)*F16)+E16+D16)*D9+D15</f>
        <v>504.61261236809042</v>
      </c>
      <c r="C42" s="4">
        <f xml:space="preserve"> 0.4*D9</f>
        <v>444.14814814814821</v>
      </c>
      <c r="D42" s="4">
        <f t="shared" si="11"/>
        <v>6256.937037037037</v>
      </c>
      <c r="E42" s="4">
        <f xml:space="preserve"> 7.8*LOG(D42/D9)+9.2</f>
        <v>15.056972578980577</v>
      </c>
      <c r="F42" s="4">
        <f t="shared" si="2"/>
        <v>25.687763754733101</v>
      </c>
      <c r="G42" s="4">
        <f xml:space="preserve"> D9/(SIN(F42/(57.2*2))*2)</f>
        <v>2493.4074340685484</v>
      </c>
      <c r="H42" s="4">
        <f t="shared" si="3"/>
        <v>81.751063412083553</v>
      </c>
      <c r="I42" s="4">
        <f t="shared" si="4"/>
        <v>19.683235100607529</v>
      </c>
      <c r="J42" s="4">
        <f xml:space="preserve"> +(B42-D10)/2</f>
        <v>251.80630618404521</v>
      </c>
      <c r="K42" s="4"/>
      <c r="L42" s="4">
        <f t="shared" ref="L42:L75" si="12" xml:space="preserve"> E42+8.4-Q42</f>
        <v>22.051364264629861</v>
      </c>
      <c r="M42" s="4">
        <f t="shared" si="6"/>
        <v>3367.7270420015529</v>
      </c>
      <c r="N42" s="4">
        <f t="shared" si="7"/>
        <v>5621.8759525870664</v>
      </c>
      <c r="O42" s="2">
        <f xml:space="preserve"> N42*((D8/100)^0.5)/3000</f>
        <v>0.97373747837304803</v>
      </c>
      <c r="P42" s="4">
        <f t="shared" si="8"/>
        <v>8115.2833866556157</v>
      </c>
      <c r="Q42" s="2">
        <f xml:space="preserve"> P42*((D8/100)^0.5)/3000</f>
        <v>1.4056083143507154</v>
      </c>
      <c r="R42" s="4">
        <f t="shared" si="9"/>
        <v>205.14547662416516</v>
      </c>
      <c r="S42">
        <f xml:space="preserve"> (B42-D15)/D9</f>
        <v>0.45430949764538875</v>
      </c>
      <c r="T42">
        <f xml:space="preserve"> 0.40603473827837</f>
        <v>0.40603473827837</v>
      </c>
      <c r="U42">
        <f xml:space="preserve"> 0.393204410383466</f>
        <v>0.39320441038346599</v>
      </c>
      <c r="V42">
        <f xml:space="preserve"> 0.383973847469404</f>
        <v>0.38397384746940399</v>
      </c>
      <c r="W42">
        <f xml:space="preserve"> 0.373454210236214</f>
        <v>0.373454210236214</v>
      </c>
      <c r="X42">
        <f xml:space="preserve"> 0.360503971229057</f>
        <v>0.36050397122905697</v>
      </c>
      <c r="Y42">
        <f xml:space="preserve"> 0.350627319030827</f>
        <v>0.350627319030827</v>
      </c>
      <c r="Z42">
        <f xml:space="preserve"> 0.335659743344696</f>
        <v>0.335659743344696</v>
      </c>
    </row>
    <row r="43" spans="1:27">
      <c r="A43" s="8">
        <f t="shared" si="10"/>
        <v>18</v>
      </c>
      <c r="B43" s="4">
        <f xml:space="preserve"> ((EXP(1)^(-0.075857*A43)*F16)+E16+D16)*D9+D15</f>
        <v>503.70641881495538</v>
      </c>
      <c r="C43" s="4">
        <f xml:space="preserve"> 0.4*D9</f>
        <v>444.14814814814821</v>
      </c>
      <c r="D43" s="4">
        <f t="shared" si="11"/>
        <v>6701.0851851851849</v>
      </c>
      <c r="E43" s="4">
        <f xml:space="preserve"> 7.8*LOG(D43/D9)+9.2</f>
        <v>15.289282740580269</v>
      </c>
      <c r="F43" s="4">
        <f t="shared" si="2"/>
        <v>25.009832918398139</v>
      </c>
      <c r="G43" s="4">
        <f xml:space="preserve"> D9/(SIN(F43/(57.2*2))*2)</f>
        <v>2559.8707928406993</v>
      </c>
      <c r="H43" s="4">
        <f t="shared" si="3"/>
        <v>83.930189929203252</v>
      </c>
      <c r="I43" s="4">
        <f t="shared" si="4"/>
        <v>19.865569112849705</v>
      </c>
      <c r="J43" s="4">
        <f xml:space="preserve"> +(B43-D10)/2</f>
        <v>251.35320940747769</v>
      </c>
      <c r="K43" s="4"/>
      <c r="L43" s="4">
        <f t="shared" si="12"/>
        <v>22.222186485448532</v>
      </c>
      <c r="M43" s="4">
        <f t="shared" si="6"/>
        <v>3586.6935029058181</v>
      </c>
      <c r="N43" s="4">
        <f t="shared" si="7"/>
        <v>5910.4133854332922</v>
      </c>
      <c r="O43" s="2">
        <f xml:space="preserve"> N43*((D8/100)^0.5)/3000</f>
        <v>1.0237136277305636</v>
      </c>
      <c r="P43" s="4">
        <f t="shared" si="8"/>
        <v>8470.2841782739906</v>
      </c>
      <c r="Q43" s="2">
        <f xml:space="preserve"> P43*((D8/100)^0.5)/3000</f>
        <v>1.4670962551317352</v>
      </c>
      <c r="R43" s="4">
        <f t="shared" si="9"/>
        <v>219.70771098967819</v>
      </c>
      <c r="S43">
        <f xml:space="preserve"> (B43-D15)/D9</f>
        <v>0.45349337936871609</v>
      </c>
      <c r="T43">
        <f xml:space="preserve"> 0.404755263040837</f>
        <v>0.40475526304083698</v>
      </c>
      <c r="U43">
        <f xml:space="preserve"> 0.391803440828411</f>
        <v>0.39180344082841101</v>
      </c>
      <c r="V43">
        <f xml:space="preserve"> 0.382485810760894</f>
        <v>0.382485810760894</v>
      </c>
      <c r="W43">
        <f xml:space="preserve"> 0.371867264921906</f>
        <v>0.37186726492190603</v>
      </c>
      <c r="X43">
        <f xml:space="preserve"> 0.358795692974058</f>
        <v>0.358795692974058</v>
      </c>
      <c r="Y43">
        <f xml:space="preserve"> 0.348826799470753</f>
        <v>0.34882679947075301</v>
      </c>
      <c r="Z43">
        <f xml:space="preserve"> 0.333719885241798</f>
        <v>0.33371988524179802</v>
      </c>
    </row>
    <row r="44" spans="1:27">
      <c r="A44" s="8">
        <f t="shared" si="10"/>
        <v>19</v>
      </c>
      <c r="B44" s="4">
        <f xml:space="preserve"> ((EXP(1)^(-0.075857*A44)*F16)+E16+D16)*D9+D15</f>
        <v>502.86642383293588</v>
      </c>
      <c r="C44" s="4">
        <f xml:space="preserve"> 0.4*D9</f>
        <v>444.14814814814821</v>
      </c>
      <c r="D44" s="4">
        <f t="shared" si="11"/>
        <v>7145.2333333333327</v>
      </c>
      <c r="E44" s="4">
        <f xml:space="preserve"> 7.8*LOG(D44/D9)+9.2</f>
        <v>15.506678699675161</v>
      </c>
      <c r="F44" s="4">
        <f t="shared" si="2"/>
        <v>24.391639485366646</v>
      </c>
      <c r="G44" s="4">
        <f xml:space="preserve"> D9/(SIN(F44/(57.2*2))*2)</f>
        <v>2623.7255816215365</v>
      </c>
      <c r="H44" s="4">
        <f t="shared" si="3"/>
        <v>86.023789561361852</v>
      </c>
      <c r="I44" s="4">
        <f t="shared" si="4"/>
        <v>20.033440740163087</v>
      </c>
      <c r="J44" s="4">
        <f xml:space="preserve"> +(B44-D10)/2</f>
        <v>250.93321191646794</v>
      </c>
      <c r="K44" s="4"/>
      <c r="L44" s="4">
        <f t="shared" si="12"/>
        <v>22.378998138914419</v>
      </c>
      <c r="M44" s="4">
        <f t="shared" si="6"/>
        <v>3805.8604584059908</v>
      </c>
      <c r="N44" s="4">
        <f t="shared" si="7"/>
        <v>6196.3422482882033</v>
      </c>
      <c r="O44" s="2">
        <f xml:space="preserve"> N44*((D8/100)^0.5)/3000</f>
        <v>1.0732379595120736</v>
      </c>
      <c r="P44" s="4">
        <f t="shared" si="8"/>
        <v>8820.0678299097399</v>
      </c>
      <c r="Q44" s="2">
        <f xml:space="preserve"> P44*((D8/100)^0.5)/3000</f>
        <v>1.5276805607607442</v>
      </c>
      <c r="R44" s="4">
        <f t="shared" si="9"/>
        <v>234.26994535519123</v>
      </c>
      <c r="S44">
        <f xml:space="preserve"> (B44-D15)/D9</f>
        <v>0.45273687955168718</v>
      </c>
      <c r="T44">
        <f xml:space="preserve"> 0.403569255067786</f>
        <v>0.40356925506778601</v>
      </c>
      <c r="U44">
        <f xml:space="preserve"> 0.390504813849509</f>
        <v>0.39050481384950902</v>
      </c>
      <c r="V44">
        <f xml:space="preserve"> 0.381106476992865</f>
        <v>0.38110647699286498</v>
      </c>
      <c r="W44">
        <f xml:space="preserve"> 0.370396247945294</f>
        <v>0.37039624794529402</v>
      </c>
      <c r="X44">
        <f xml:space="preserve"> 0.357212206579647</f>
        <v>0.35721220657964697</v>
      </c>
      <c r="Y44">
        <f xml:space="preserve"> 0.347157810113834</f>
        <v>0.34715781011383401</v>
      </c>
      <c r="Z44">
        <f xml:space="preserve"> 0.331921736196678</f>
        <v>0.33192173619667797</v>
      </c>
    </row>
    <row r="45" spans="1:27">
      <c r="A45" s="8">
        <f t="shared" si="10"/>
        <v>20</v>
      </c>
      <c r="B45" s="4">
        <f xml:space="preserve"> ((EXP(1)^(-0.075857*A45)*F16)+E16+D16)*D9+D15</f>
        <v>502.08779153371358</v>
      </c>
      <c r="C45" s="4">
        <f xml:space="preserve"> 0.4*D9</f>
        <v>444.14814814814821</v>
      </c>
      <c r="D45" s="4">
        <f t="shared" si="11"/>
        <v>7589.3814814814805</v>
      </c>
      <c r="E45" s="4">
        <f xml:space="preserve"> 7.8*LOG(D45/D9)+9.2</f>
        <v>15.71096044744996</v>
      </c>
      <c r="F45" s="4">
        <f t="shared" si="2"/>
        <v>23.82467061309416</v>
      </c>
      <c r="G45" s="4">
        <f xml:space="preserve"> D9/(SIN(F45/(57.2*2))*2)</f>
        <v>2685.2260619335884</v>
      </c>
      <c r="H45" s="4">
        <f t="shared" si="3"/>
        <v>88.040198751920926</v>
      </c>
      <c r="I45" s="4">
        <f t="shared" si="4"/>
        <v>20.188605934344835</v>
      </c>
      <c r="J45" s="4">
        <f xml:space="preserve"> +(B45-D10)/2</f>
        <v>250.54389576685679</v>
      </c>
      <c r="K45" s="4"/>
      <c r="L45" s="4">
        <f t="shared" si="12"/>
        <v>22.523511137437133</v>
      </c>
      <c r="M45" s="4">
        <f t="shared" si="6"/>
        <v>4025.2065249854386</v>
      </c>
      <c r="N45" s="4">
        <f t="shared" si="7"/>
        <v>6479.9168026743282</v>
      </c>
      <c r="O45" s="2">
        <f xml:space="preserve"> N45*((D8/100)^0.5)/3000</f>
        <v>1.1223545131051209</v>
      </c>
      <c r="P45" s="4">
        <f t="shared" si="8"/>
        <v>9165.1428646079166</v>
      </c>
      <c r="Q45" s="2">
        <f xml:space="preserve"> P45*((D8/100)^0.5)/3000</f>
        <v>1.5874493100128277</v>
      </c>
      <c r="R45" s="4">
        <f t="shared" si="9"/>
        <v>248.83217972070429</v>
      </c>
      <c r="S45">
        <f xml:space="preserve"> (B45-D15)/D9</f>
        <v>0.45203564299134691</v>
      </c>
      <c r="T45">
        <f xml:space="preserve"> 0.402469886458782</f>
        <v>0.40246988645878201</v>
      </c>
      <c r="U45">
        <f xml:space="preserve"> 0.389301053193721</f>
        <v>0.38930105319372099</v>
      </c>
      <c r="V45">
        <f xml:space="preserve"> 0.379827905279718</f>
        <v>0.37982790527971799</v>
      </c>
      <c r="W45">
        <f xml:space="preserve"> 0.369032690596486</f>
        <v>0.36903269059648602</v>
      </c>
      <c r="X45">
        <f xml:space="preserve"> 0.355744395844513</f>
        <v>0.35574439584451301</v>
      </c>
      <c r="Y45">
        <f xml:space="preserve"> 0.345610742514417</f>
        <v>0.34561074251441698</v>
      </c>
      <c r="Z45">
        <f xml:space="preserve"> 0.330254944185636</f>
        <v>0.330254944185636</v>
      </c>
      <c r="AA45">
        <v>20</v>
      </c>
    </row>
    <row r="46" spans="1:27">
      <c r="A46" s="8">
        <f t="shared" si="10"/>
        <v>21</v>
      </c>
      <c r="B46" s="4">
        <f xml:space="preserve"> ((EXP(1)^(-0.075857*A46)*F16)+E16+D16)*D9+D15</f>
        <v>501.36603929665301</v>
      </c>
      <c r="C46" s="4">
        <f xml:space="preserve"> 0.4*D9</f>
        <v>444.14814814814821</v>
      </c>
      <c r="D46" s="4">
        <f t="shared" si="11"/>
        <v>8033.5296296296283</v>
      </c>
      <c r="E46" s="4">
        <f xml:space="preserve"> 7.8*LOG(D46/D9)+9.2</f>
        <v>15.903620576549438</v>
      </c>
      <c r="F46" s="4">
        <f t="shared" si="2"/>
        <v>23.302037593598616</v>
      </c>
      <c r="G46" s="4">
        <f xml:space="preserve"> D9/(SIN(F46/(57.2*2))*2)</f>
        <v>2744.5885799472112</v>
      </c>
      <c r="H46" s="4">
        <f t="shared" si="3"/>
        <v>89.986510817941351</v>
      </c>
      <c r="I46" s="4">
        <f t="shared" si="4"/>
        <v>20.332519815783822</v>
      </c>
      <c r="J46" s="4">
        <f xml:space="preserve"> +(B46-D10)/2</f>
        <v>250.18301964832651</v>
      </c>
      <c r="K46" s="4"/>
      <c r="L46" s="4">
        <f t="shared" si="12"/>
        <v>22.657143129149635</v>
      </c>
      <c r="M46" s="4">
        <f t="shared" si="6"/>
        <v>4244.7133231619364</v>
      </c>
      <c r="N46" s="4">
        <f t="shared" si="7"/>
        <v>6761.3533947620253</v>
      </c>
      <c r="O46" s="2">
        <f xml:space="preserve"> N46*((D8/100)^0.5)/3000</f>
        <v>1.1711007607656136</v>
      </c>
      <c r="P46" s="4">
        <f t="shared" si="8"/>
        <v>9505.9419747092361</v>
      </c>
      <c r="Q46" s="2">
        <f xml:space="preserve"> P46*((D8/100)^0.5)/3000</f>
        <v>1.6464774473998023</v>
      </c>
      <c r="R46" s="4">
        <f t="shared" si="9"/>
        <v>263.3944140862173</v>
      </c>
      <c r="S46">
        <f xml:space="preserve"> (B46-D15)/D9</f>
        <v>0.45138563263775666</v>
      </c>
      <c r="T46">
        <f xml:space="preserve"> 0.401450828100048</f>
        <v>0.40145082810004801</v>
      </c>
      <c r="U46">
        <f xml:space="preserve"> 0.388185228757632</f>
        <v>0.38818522875763201</v>
      </c>
      <c r="V46">
        <f xml:space="preserve"> 0.378642734827468</f>
        <v>0.37864273482746802</v>
      </c>
      <c r="W46">
        <f xml:space="preserve"> 0.367768742815427</f>
        <v>0.36776874281542699</v>
      </c>
      <c r="X46">
        <f xml:space="preserve"> 0.354383810517238</f>
        <v>0.354383810517238</v>
      </c>
      <c r="Y46">
        <f xml:space="preserve"> 0.344176690135806</f>
        <v>0.34417669013580598</v>
      </c>
      <c r="Z46">
        <f xml:space="preserve"> 0.328709913413233</f>
        <v>0.32870991341323302</v>
      </c>
    </row>
    <row r="47" spans="1:27">
      <c r="A47" s="8">
        <f t="shared" si="10"/>
        <v>22</v>
      </c>
      <c r="B47" s="4">
        <f xml:space="preserve"> ((EXP(1)^(-0.075857*A47)*F16)+E16+D16)*D9+D15</f>
        <v>500.69701196215624</v>
      </c>
      <c r="C47" s="4">
        <f xml:space="preserve"> 0.4*D9</f>
        <v>444.14814814814821</v>
      </c>
      <c r="D47" s="4">
        <f t="shared" si="11"/>
        <v>8477.677777777777</v>
      </c>
      <c r="E47" s="4">
        <f xml:space="preserve"> 7.8*LOG(D47/D9)+9.2</f>
        <v>16.085910522861031</v>
      </c>
      <c r="F47" s="4">
        <f t="shared" si="2"/>
        <v>22.818095910963333</v>
      </c>
      <c r="G47" s="4">
        <f xml:space="preserve"> D9/(SIN(F47/(57.2*2))*2)</f>
        <v>2801.9989684560951</v>
      </c>
      <c r="H47" s="4">
        <f t="shared" si="3"/>
        <v>91.868818637904752</v>
      </c>
      <c r="I47" s="4">
        <f t="shared" si="4"/>
        <v>20.466401633183438</v>
      </c>
      <c r="J47" s="4">
        <f xml:space="preserve"> +(B47-D10)/2</f>
        <v>249.84850598107812</v>
      </c>
      <c r="K47" s="4"/>
      <c r="L47" s="4">
        <f t="shared" si="12"/>
        <v>22.781081175571288</v>
      </c>
      <c r="M47" s="4">
        <f t="shared" si="6"/>
        <v>4464.3649806847161</v>
      </c>
      <c r="N47" s="4">
        <f t="shared" si="7"/>
        <v>7040.8378573449836</v>
      </c>
      <c r="O47" s="2">
        <f xml:space="preserve"> N47*((D8/100)^0.5)/3000</f>
        <v>1.2195088896775903</v>
      </c>
      <c r="P47" s="4">
        <f t="shared" si="8"/>
        <v>9842.8368258010778</v>
      </c>
      <c r="Q47" s="2">
        <f xml:space="preserve"> P47*((D8/100)^0.5)/3000</f>
        <v>1.7048293472897442</v>
      </c>
      <c r="R47" s="4">
        <f t="shared" si="9"/>
        <v>277.95664845173042</v>
      </c>
      <c r="S47">
        <f xml:space="preserve"> (B47-D15)/D9</f>
        <v>0.45078310635251939</v>
      </c>
      <c r="T47">
        <f xml:space="preserve"> 0.400506213227475</f>
        <v>0.40050621322747498</v>
      </c>
      <c r="U47">
        <f xml:space="preserve"> 0.387150916690538</f>
        <v>0.38715091669053803</v>
      </c>
      <c r="V47">
        <f xml:space="preserve"> 0.377544142557324</f>
        <v>0.37754414255732399</v>
      </c>
      <c r="W47">
        <f xml:space="preserve"> 0.366597127998758</f>
        <v>0.36659712799875799</v>
      </c>
      <c r="X47">
        <f xml:space="preserve"> 0.353122617647826</f>
        <v>0.35312261764782599</v>
      </c>
      <c r="Y47">
        <f xml:space="preserve"> 0.342847397074937</f>
        <v>0.342847397074937</v>
      </c>
      <c r="Z47">
        <f xml:space="preserve"> 0.327277749068879</f>
        <v>0.32727774906887902</v>
      </c>
    </row>
    <row r="48" spans="1:27">
      <c r="A48" s="8">
        <f t="shared" si="10"/>
        <v>23</v>
      </c>
      <c r="B48" s="4">
        <f xml:space="preserve"> ((EXP(1)^(-0.075857*A48)*F16)+E16+D16)*D9+D15</f>
        <v>500.07685791022431</v>
      </c>
      <c r="C48" s="4">
        <f xml:space="preserve"> 0.4*D9</f>
        <v>444.14814814814821</v>
      </c>
      <c r="D48" s="4">
        <f t="shared" si="11"/>
        <v>8921.8259259259248</v>
      </c>
      <c r="E48" s="4">
        <f xml:space="preserve"> 7.8*LOG(D48/D9)+9.2</f>
        <v>16.258889872575033</v>
      </c>
      <c r="F48" s="4">
        <f t="shared" si="2"/>
        <v>22.36816891962194</v>
      </c>
      <c r="G48" s="4">
        <f xml:space="preserve"> D9/(SIN(F48/(57.2*2))*2)</f>
        <v>2857.6181973770836</v>
      </c>
      <c r="H48" s="4">
        <f t="shared" si="3"/>
        <v>93.692399914002735</v>
      </c>
      <c r="I48" s="4">
        <f t="shared" si="4"/>
        <v>20.591283091926538</v>
      </c>
      <c r="J48" s="4">
        <f xml:space="preserve"> +(B48-D10)/2</f>
        <v>249.53842895511215</v>
      </c>
      <c r="K48" s="4"/>
      <c r="L48" s="4">
        <f t="shared" si="12"/>
        <v>22.896329101277484</v>
      </c>
      <c r="M48" s="4">
        <f t="shared" si="6"/>
        <v>4684.1477243599138</v>
      </c>
      <c r="N48" s="4">
        <f t="shared" si="7"/>
        <v>7318.531160340046</v>
      </c>
      <c r="O48" s="2">
        <f xml:space="preserve"> N48*((D8/100)^0.5)/3000</f>
        <v>1.2676067806484972</v>
      </c>
      <c r="P48" s="4">
        <f t="shared" si="8"/>
        <v>10176.14935771713</v>
      </c>
      <c r="Q48" s="2">
        <f xml:space="preserve"> P48*((D8/100)^0.5)/3000</f>
        <v>1.7625607712975466</v>
      </c>
      <c r="R48" s="4">
        <f t="shared" si="9"/>
        <v>292.51888281724342</v>
      </c>
      <c r="S48">
        <f xml:space="preserve"> (B48-D15)/D9</f>
        <v>0.45022459536512238</v>
      </c>
      <c r="T48">
        <f xml:space="preserve"> 0.3996306036514</f>
        <v>0.39963060365140002</v>
      </c>
      <c r="U48">
        <f xml:space="preserve"> 0.386192162412057</f>
        <v>0.38619216241205701</v>
      </c>
      <c r="V48">
        <f xml:space="preserve"> 0.376525803824927</f>
        <v>0.37652580382492701</v>
      </c>
      <c r="W48">
        <f xml:space="preserve"> 0.365511101108081</f>
        <v>0.36551110110808099</v>
      </c>
      <c r="X48">
        <f xml:space="preserve"> 0.351953556493066</f>
        <v>0.35195355649306598</v>
      </c>
      <c r="Y48">
        <f xml:space="preserve"> 0.341615210532779</f>
        <v>0.34161521053277899</v>
      </c>
      <c r="Z48">
        <f xml:space="preserve"> 0.325950206119006</f>
        <v>0.32595020611900599</v>
      </c>
    </row>
    <row r="49" spans="1:27">
      <c r="A49" s="8">
        <f t="shared" si="10"/>
        <v>24</v>
      </c>
      <c r="B49" s="4">
        <f xml:space="preserve"> ((EXP(1)^(-0.075857*A49)*F16)+E16+D16)*D9+D15</f>
        <v>499.50200688651131</v>
      </c>
      <c r="C49" s="4">
        <f xml:space="preserve"> 0.4*D9</f>
        <v>444.14814814814821</v>
      </c>
      <c r="D49" s="4">
        <f t="shared" si="11"/>
        <v>9365.9740740740726</v>
      </c>
      <c r="E49" s="4">
        <f xml:space="preserve"> 7.8*LOG(D49/D9)+9.2</f>
        <v>16.42346367801612</v>
      </c>
      <c r="F49" s="4">
        <f t="shared" si="2"/>
        <v>21.948343249952764</v>
      </c>
      <c r="G49" s="4">
        <f xml:space="preserve"> D9/(SIN(F49/(57.2*2))*2)</f>
        <v>2911.586752674034</v>
      </c>
      <c r="H49" s="4">
        <f t="shared" si="3"/>
        <v>95.461860743410952</v>
      </c>
      <c r="I49" s="4">
        <f t="shared" si="4"/>
        <v>20.708044911455072</v>
      </c>
      <c r="J49" s="4">
        <f xml:space="preserve"> +(B49-D10)/2</f>
        <v>249.25100344325566</v>
      </c>
      <c r="K49" s="4"/>
      <c r="L49" s="4">
        <f t="shared" si="12"/>
        <v>23.00374329282748</v>
      </c>
      <c r="M49" s="4">
        <f t="shared" si="6"/>
        <v>4904.0495453903859</v>
      </c>
      <c r="N49" s="4">
        <f t="shared" si="7"/>
        <v>7594.5737897110703</v>
      </c>
      <c r="O49" s="2">
        <f xml:space="preserve"> N49*((D8/100)^0.5)/3000</f>
        <v>1.3154187665610491</v>
      </c>
      <c r="P49" s="4">
        <f t="shared" si="8"/>
        <v>10506.160542385103</v>
      </c>
      <c r="Q49" s="2">
        <f xml:space="preserve"> P49*((D8/100)^0.5)/3000</f>
        <v>1.8197203851886394</v>
      </c>
      <c r="R49" s="4">
        <f t="shared" si="9"/>
        <v>307.08111718275649</v>
      </c>
      <c r="S49">
        <f xml:space="preserve"> (B49-D15)/D9</f>
        <v>0.44970688430307265</v>
      </c>
      <c r="T49">
        <f xml:space="preserve"> 0.39881895844871</f>
        <v>0.39881895844871001</v>
      </c>
      <c r="U49">
        <f xml:space="preserve"> 0.385303446331339</f>
        <v>0.38530344633133901</v>
      </c>
      <c r="V49">
        <f xml:space="preserve"> 0.375581856009088</f>
        <v>0.375581856009088</v>
      </c>
      <c r="W49">
        <f xml:space="preserve"> 0.364504409838483</f>
        <v>0.36450440983848298</v>
      </c>
      <c r="X49">
        <f xml:space="preserve"> 0.350869896716106</f>
        <v>0.35086989671610602</v>
      </c>
      <c r="Y49">
        <f xml:space="preserve"> 0.340473036756831</f>
        <v>0.34047303675683099</v>
      </c>
      <c r="Z49">
        <f xml:space="preserve"> 0.32471964184005</f>
        <v>0.32471964184004998</v>
      </c>
    </row>
    <row r="50" spans="1:27">
      <c r="A50" s="8">
        <f t="shared" si="10"/>
        <v>25</v>
      </c>
      <c r="B50" s="4">
        <f xml:space="preserve"> ((EXP(1)^(-0.075857*A50)*F16)+E16+D16)*D9+D15</f>
        <v>498.96914944821106</v>
      </c>
      <c r="C50" s="4">
        <f xml:space="preserve"> 0.4*D9</f>
        <v>444.14814814814821</v>
      </c>
      <c r="D50" s="4">
        <f t="shared" si="11"/>
        <v>9810.1222222222204</v>
      </c>
      <c r="E50" s="4">
        <f xml:space="preserve"> 7.8*LOG(D50/D9)+9.2</f>
        <v>16.580411119973704</v>
      </c>
      <c r="F50" s="4">
        <f t="shared" si="2"/>
        <v>21.555314879887476</v>
      </c>
      <c r="G50" s="4">
        <f xml:space="preserve"> D9/(SIN(F50/(57.2*2))*2)</f>
        <v>2964.0280758422127</v>
      </c>
      <c r="H50" s="4">
        <f t="shared" si="3"/>
        <v>97.181248388269267</v>
      </c>
      <c r="I50" s="4">
        <f>5.6+E50-O50</f>
        <v>20.817444891864302</v>
      </c>
      <c r="J50" s="4">
        <f xml:space="preserve"> +(B50-D10)/2</f>
        <v>248.98457472410553</v>
      </c>
      <c r="K50" s="4"/>
      <c r="L50" s="4">
        <f t="shared" si="12"/>
        <v>23.104060169622368</v>
      </c>
      <c r="M50" s="4">
        <f t="shared" si="6"/>
        <v>5124.0599247403206</v>
      </c>
      <c r="N50" s="4">
        <f t="shared" si="7"/>
        <v>7869.0891869533225</v>
      </c>
      <c r="O50" s="2">
        <f xml:space="preserve"> N50*((D8/100)^0.5)/3000</f>
        <v>1.3629662281094024</v>
      </c>
      <c r="P50" s="4">
        <f t="shared" si="8"/>
        <v>10833.117262795535</v>
      </c>
      <c r="Q50" s="2">
        <f xml:space="preserve"> P50*((D8/100)^0.5)/3000</f>
        <v>1.8763509503513354</v>
      </c>
      <c r="R50" s="4">
        <f t="shared" si="9"/>
        <v>321.64335154826955</v>
      </c>
      <c r="S50">
        <f xml:space="preserve"> (B50-D15)/D9</f>
        <v>0.44922699268085431</v>
      </c>
      <c r="T50">
        <f xml:space="preserve"> 0.398066604942021</f>
        <v>0.39806660494202101</v>
      </c>
      <c r="U50">
        <f xml:space="preserve"> 0.384479652070543</f>
        <v>0.38447965207054302</v>
      </c>
      <c r="V50">
        <f xml:space="preserve"> 0.374706864760419</f>
        <v>0.37470686476041898</v>
      </c>
      <c r="W50">
        <f xml:space="preserve"> 0.363571258623735</f>
        <v>0.36357125862373502</v>
      </c>
      <c r="X50">
        <f xml:space="preserve"> 0.349865399639611</f>
        <v>0.349865399639611</v>
      </c>
      <c r="Y50">
        <f xml:space="preserve"> 0.339414300202072</f>
        <v>0.33941430020207197</v>
      </c>
      <c r="Z50">
        <f xml:space="preserve"> 0.323578971818949</f>
        <v>0.32357897181894901</v>
      </c>
      <c r="AA50">
        <v>25</v>
      </c>
    </row>
    <row r="51" spans="1:27">
      <c r="A51" s="8">
        <f t="shared" si="10"/>
        <v>26</v>
      </c>
      <c r="B51" s="4">
        <f xml:space="preserve"> ((EXP(1)^(-0.075857*A51)*F16)+E16+D16)*D9+D15</f>
        <v>498.47521791144891</v>
      </c>
      <c r="C51" s="4">
        <f xml:space="preserve"> 0.4*D9</f>
        <v>444.14814814814821</v>
      </c>
      <c r="D51" s="4">
        <f t="shared" si="11"/>
        <v>10254.270370370368</v>
      </c>
      <c r="E51" s="4">
        <f xml:space="preserve"> 7.8*LOG(D51/D9)+9.2</f>
        <v>16.730407818254829</v>
      </c>
      <c r="F51" s="4">
        <f t="shared" si="2"/>
        <v>21.186271649722602</v>
      </c>
      <c r="G51" s="4">
        <f xml:space="preserve"> D9/(SIN(F51/(57.2*2))*2)</f>
        <v>3015.0512983891431</v>
      </c>
      <c r="H51" s="4">
        <f t="shared" si="3"/>
        <v>98.854140930791573</v>
      </c>
      <c r="I51" s="4">
        <f t="shared" ref="I51:I75" si="13" xml:space="preserve"> 5.6+E51-O51</f>
        <v>20.920139750829694</v>
      </c>
      <c r="J51" s="4">
        <f xml:space="preserve"> +(B51-D10)/2</f>
        <v>248.73760895572445</v>
      </c>
      <c r="K51" s="4"/>
      <c r="L51" s="4">
        <f t="shared" si="12"/>
        <v>23.19791754720605</v>
      </c>
      <c r="M51" s="4">
        <f t="shared" si="6"/>
        <v>5344.1696071647493</v>
      </c>
      <c r="N51" s="4">
        <f t="shared" si="7"/>
        <v>8142.1864835743272</v>
      </c>
      <c r="O51" s="2">
        <f xml:space="preserve"> N51*((D8/100)^0.5)/3000</f>
        <v>1.4102680674251311</v>
      </c>
      <c r="P51" s="4">
        <f t="shared" si="8"/>
        <v>11157.237781963471</v>
      </c>
      <c r="Q51" s="2">
        <f xml:space="preserve"> P51*((D8/100)^0.5)/3000</f>
        <v>1.9324902710487821</v>
      </c>
      <c r="R51" s="4">
        <f t="shared" si="9"/>
        <v>336.20558591378256</v>
      </c>
      <c r="S51">
        <f xml:space="preserve"> (B51-D15)/D9</f>
        <v>0.44878215774114188</v>
      </c>
      <c r="T51">
        <f xml:space="preserve"> 0.39736921179887</f>
        <v>0.39736921179887003</v>
      </c>
      <c r="U51">
        <f xml:space="preserve"> 0.38371603700962</f>
        <v>0.38371603700961998</v>
      </c>
      <c r="V51">
        <f xml:space="preserve"> 0.373895792715545</f>
        <v>0.37389579271554502</v>
      </c>
      <c r="W51">
        <f xml:space="preserve"> 0.362706275270961</f>
        <v>0.362706275270961</v>
      </c>
      <c r="X51">
        <f xml:space="preserve"> 0.348934282329419</f>
        <v>0.34893428232941898</v>
      </c>
      <c r="Y51">
        <f xml:space="preserve"> 0.338432905675261</f>
        <v>0.33843290567526102</v>
      </c>
      <c r="Z51">
        <f xml:space="preserve"> 0.322521629167867</f>
        <v>0.32252162916786697</v>
      </c>
    </row>
    <row r="52" spans="1:27">
      <c r="A52" s="8">
        <f t="shared" si="10"/>
        <v>27</v>
      </c>
      <c r="B52" s="4">
        <f xml:space="preserve"> ((EXP(1)^(-0.075857*A52)*F16)+E16+D16)*D9+D15</f>
        <v>498.01736869048938</v>
      </c>
      <c r="C52" s="4">
        <f xml:space="preserve"> 0.4*D9</f>
        <v>444.14814814814821</v>
      </c>
      <c r="D52" s="4">
        <f t="shared" si="11"/>
        <v>10698.418518518516</v>
      </c>
      <c r="E52" s="4">
        <f xml:space="preserve"> 7.8*LOG(D52/D9)+9.2</f>
        <v>16.874043408133478</v>
      </c>
      <c r="F52" s="4">
        <f t="shared" si="2"/>
        <v>20.838802420810655</v>
      </c>
      <c r="G52" s="4">
        <f xml:space="preserve"> D9/(SIN(F52/(57.2*2))*2)</f>
        <v>3064.7534397330469</v>
      </c>
      <c r="H52" s="4">
        <f t="shared" si="3"/>
        <v>100.48371933550973</v>
      </c>
      <c r="I52" s="4">
        <f t="shared" si="13"/>
        <v>21.016702319369074</v>
      </c>
      <c r="J52" s="4">
        <f xml:space="preserve"> +(B52-D10)/2</f>
        <v>248.50868434524469</v>
      </c>
      <c r="K52" s="4"/>
      <c r="L52" s="4">
        <f t="shared" si="12"/>
        <v>23.285871452340164</v>
      </c>
      <c r="M52" s="4">
        <f t="shared" si="6"/>
        <v>5564.3704146052196</v>
      </c>
      <c r="N52" s="4">
        <f t="shared" si="7"/>
        <v>8413.9626989923054</v>
      </c>
      <c r="O52" s="2">
        <f xml:space="preserve"> N52*((D8/100)^0.5)/3000</f>
        <v>1.4573410887644034</v>
      </c>
      <c r="P52" s="4">
        <f t="shared" si="8"/>
        <v>11478.716138725351</v>
      </c>
      <c r="Q52" s="2">
        <f xml:space="preserve"> P52*((D8/100)^0.5)/3000</f>
        <v>1.9881719557933151</v>
      </c>
      <c r="R52" s="4">
        <f t="shared" si="9"/>
        <v>350.76782027929562</v>
      </c>
      <c r="S52">
        <f xml:space="preserve"> (B52-D15)/D9</f>
        <v>0.44836981854948388</v>
      </c>
      <c r="T52">
        <f xml:space="preserve"> 0.396722764096042</f>
        <v>0.39672276409604201</v>
      </c>
      <c r="U52">
        <f xml:space="preserve"> 0.383008204982841</f>
        <v>0.38300820498284099</v>
      </c>
      <c r="V52">
        <f xml:space="preserve"> 0.373143970496778</f>
        <v>0.373143970496778</v>
      </c>
      <c r="W52">
        <f xml:space="preserve"> 0.361904480032683</f>
        <v>0.361904480032683</v>
      </c>
      <c r="X52">
        <f xml:space="preserve"> 0.348071184301931</f>
        <v>0.34807118430193101</v>
      </c>
      <c r="Y52">
        <f xml:space="preserve"> 0.337523203244637</f>
        <v>0.33752320324463703</v>
      </c>
      <c r="Z52">
        <f xml:space="preserve"> 0.321541526718329</f>
        <v>0.32154152671832897</v>
      </c>
    </row>
    <row r="53" spans="1:27">
      <c r="A53" s="8">
        <f t="shared" si="10"/>
        <v>28</v>
      </c>
      <c r="B53" s="4">
        <f xml:space="preserve"> ((EXP(1)^(-0.075857*A53)*F16)+E16+D16)*D9+D15</f>
        <v>497.59296592708745</v>
      </c>
      <c r="C53" s="4">
        <f xml:space="preserve"> 0.4*D9</f>
        <v>444.14814814814821</v>
      </c>
      <c r="D53" s="4">
        <f t="shared" si="11"/>
        <v>11142.566666666664</v>
      </c>
      <c r="E53" s="4">
        <f xml:space="preserve"> 7.8*LOG(D53/D9)+9.2</f>
        <v>17.01183553922333</v>
      </c>
      <c r="F53" s="4">
        <f t="shared" si="2"/>
        <v>20.510826003321633</v>
      </c>
      <c r="G53" s="4">
        <f xml:space="preserve"> D9/(SIN(F53/(57.2*2))*2)</f>
        <v>3113.2211914573036</v>
      </c>
      <c r="H53" s="4">
        <f t="shared" si="3"/>
        <v>102.07282594941979</v>
      </c>
      <c r="I53" s="4">
        <f t="shared" si="13"/>
        <v>21.107635231673409</v>
      </c>
      <c r="J53" s="4">
        <f xml:space="preserve"> +(B53-D10)/2</f>
        <v>248.29648296354372</v>
      </c>
      <c r="K53" s="4"/>
      <c r="L53" s="4">
        <f t="shared" si="12"/>
        <v>23.368409503792996</v>
      </c>
      <c r="M53" s="4">
        <f t="shared" si="6"/>
        <v>5784.6550914477584</v>
      </c>
      <c r="N53" s="4">
        <f t="shared" si="7"/>
        <v>8684.5045247906346</v>
      </c>
      <c r="O53" s="2">
        <f xml:space="preserve"> N53*((D8/100)^0.5)/3000</f>
        <v>1.5042003075499191</v>
      </c>
      <c r="P53" s="4">
        <f t="shared" si="8"/>
        <v>11797.72571624794</v>
      </c>
      <c r="Q53" s="2">
        <f xml:space="preserve"> P53*((D8/100)^0.5)/3000</f>
        <v>2.0434260354303357</v>
      </c>
      <c r="R53" s="4">
        <f t="shared" si="9"/>
        <v>365.33005464480863</v>
      </c>
      <c r="S53">
        <f xml:space="preserve"> (B53-D15)/D9</f>
        <v>0.44798760125088977</v>
      </c>
      <c r="T53">
        <f xml:space="preserve"> 0.396123540205479</f>
        <v>0.39612354020547902</v>
      </c>
      <c r="U53">
        <f xml:space="preserve"> 0.382352080969875</f>
        <v>0.382352080969875</v>
      </c>
      <c r="V53">
        <f xml:space="preserve"> 0.372447069830303</f>
        <v>0.37244706983030301</v>
      </c>
      <c r="W53">
        <f xml:space="preserve"> 0.361161256938202</f>
        <v>0.361161256938202</v>
      </c>
      <c r="X53">
        <f xml:space="preserve"> 0.347271136663573</f>
        <v>0.34727113666357301</v>
      </c>
      <c r="Y53">
        <f xml:space="preserve"> 0.336679955713013</f>
        <v>0.33667995571301301</v>
      </c>
      <c r="Z53">
        <f xml:space="preserve"> 0.320633021977119</f>
        <v>0.32063302197711901</v>
      </c>
    </row>
    <row r="54" spans="1:27">
      <c r="A54" s="8">
        <f t="shared" si="10"/>
        <v>29</v>
      </c>
      <c r="B54" s="4">
        <f xml:space="preserve"> ((EXP(1)^(-0.075857*A54)*F16)+E16+D16)*D9+D15</f>
        <v>497.19956631573569</v>
      </c>
      <c r="C54" s="4">
        <f xml:space="preserve"> 0.4*D9</f>
        <v>444.14814814814821</v>
      </c>
      <c r="D54" s="4">
        <f t="shared" si="11"/>
        <v>11586.714814814812</v>
      </c>
      <c r="E54" s="4">
        <f xml:space="preserve"> 7.8*LOG(D54/D9)+9.2</f>
        <v>17.144241136531488</v>
      </c>
      <c r="F54" s="4">
        <f t="shared" si="2"/>
        <v>20.200534950273465</v>
      </c>
      <c r="G54" s="4">
        <f xml:space="preserve"> D9/(SIN(F54/(57.2*2))*2)</f>
        <v>3160.5323789656582</v>
      </c>
      <c r="H54" s="4">
        <f t="shared" si="3"/>
        <v>103.62401242510354</v>
      </c>
      <c r="I54" s="4">
        <f t="shared" si="13"/>
        <v>21.193381932994466</v>
      </c>
      <c r="J54" s="4">
        <f xml:space="preserve"> +(B54-D10)/2</f>
        <v>248.09978315786785</v>
      </c>
      <c r="K54" s="4"/>
      <c r="L54" s="4">
        <f t="shared" si="12"/>
        <v>23.445961667060967</v>
      </c>
      <c r="M54" s="4">
        <f t="shared" si="6"/>
        <v>6005.0171756277969</v>
      </c>
      <c r="N54" s="4">
        <f t="shared" si="7"/>
        <v>8953.8897863730635</v>
      </c>
      <c r="O54" s="2">
        <f xml:space="preserve"> N54*((D8/100)^0.5)/3000</f>
        <v>1.550859203537019</v>
      </c>
      <c r="P54" s="4">
        <f t="shared" si="8"/>
        <v>12114.422165338721</v>
      </c>
      <c r="Q54" s="2">
        <f xml:space="preserve"> P54*((D8/100)^0.5)/3000</f>
        <v>2.098279469470524</v>
      </c>
      <c r="R54" s="4">
        <f t="shared" si="9"/>
        <v>379.89228901032169</v>
      </c>
      <c r="S54">
        <f xml:space="preserve"> (B54-D15)/D9</f>
        <v>0.44763330540344154</v>
      </c>
      <c r="T54">
        <f xml:space="preserve"> 0.395568090368699</f>
        <v>0.395568090368699</v>
      </c>
      <c r="U54">
        <f xml:space="preserve"> 0.381743887635716</f>
        <v>0.38174388763571598</v>
      </c>
      <c r="V54">
        <f xml:space="preserve"> 0.371801078628114</f>
        <v>0.37180107862811401</v>
      </c>
      <c r="W54">
        <f xml:space="preserve"> 0.360472327219241</f>
        <v>0.360472327219241</v>
      </c>
      <c r="X54">
        <f xml:space="preserve"> 0.346529533504654</f>
        <v>0.34652953350465399</v>
      </c>
      <c r="Y54">
        <f xml:space="preserve"> 0.335898308466998</f>
        <v>0.33589830846699797</v>
      </c>
      <c r="Z54">
        <f xml:space="preserve"> 0.3197908846422</f>
        <v>0.31979088464220001</v>
      </c>
    </row>
    <row r="55" spans="1:27">
      <c r="A55" s="8">
        <f t="shared" si="10"/>
        <v>30</v>
      </c>
      <c r="B55" s="4">
        <f xml:space="preserve"> ((EXP(1)^(-0.075857*A55)*F16)+E16+D16)*D9+D15</f>
        <v>496.83490503744622</v>
      </c>
      <c r="C55" s="4">
        <f xml:space="preserve"> 0.4*D9</f>
        <v>444.14814814814821</v>
      </c>
      <c r="D55" s="4">
        <f t="shared" si="11"/>
        <v>12030.86296296296</v>
      </c>
      <c r="E55" s="4">
        <f xml:space="preserve"> 7.8*LOG(D55/D9)+9.2</f>
        <v>17.271665542115525</v>
      </c>
      <c r="F55" s="4">
        <f t="shared" si="2"/>
        <v>19.906350668784345</v>
      </c>
      <c r="G55" s="4">
        <f xml:space="preserve"> D9/(SIN(F55/(57.2*2))*2)</f>
        <v>3206.757168857434</v>
      </c>
      <c r="H55" s="4">
        <f t="shared" si="3"/>
        <v>105.13957930680111</v>
      </c>
      <c r="I55" s="4">
        <f t="shared" si="13"/>
        <v>21.274335612178316</v>
      </c>
      <c r="J55" s="4">
        <f xml:space="preserve"> +(B55-D10)/2</f>
        <v>247.91745251872311</v>
      </c>
      <c r="K55" s="4"/>
      <c r="L55" s="4">
        <f t="shared" si="12"/>
        <v>23.51890897777864</v>
      </c>
      <c r="M55" s="4">
        <f t="shared" si="6"/>
        <v>6225.4508907711343</v>
      </c>
      <c r="N55" s="4">
        <f t="shared" si="7"/>
        <v>9222.1886503389142</v>
      </c>
      <c r="O55" s="2">
        <f xml:space="preserve"> N55*((D8/100)^0.5)/3000</f>
        <v>1.5973299299372052</v>
      </c>
      <c r="P55" s="4">
        <f t="shared" si="8"/>
        <v>12428.945819196348</v>
      </c>
      <c r="Q55" s="2">
        <f xml:space="preserve"> P55*((D8/100)^0.5)/3000</f>
        <v>2.1527565643368858</v>
      </c>
      <c r="R55" s="4">
        <f t="shared" si="9"/>
        <v>394.45452337583475</v>
      </c>
      <c r="S55">
        <f xml:space="preserve"> (B55-D15)/D9</f>
        <v>0.4473048913102522</v>
      </c>
      <c r="T55">
        <f xml:space="preserve"> 0.39505321683639</f>
        <v>0.39505321683639</v>
      </c>
      <c r="U55">
        <f xml:space="preserve"> 0.381180123584401</f>
        <v>0.38118012358440101</v>
      </c>
      <c r="V55">
        <f xml:space="preserve"> 0.371202277890248</f>
        <v>0.37120227789024801</v>
      </c>
      <c r="W55">
        <f xml:space="preserve"> 0.359833724676894</f>
        <v>0.35983372467689401</v>
      </c>
      <c r="X55">
        <f xml:space="preserve"> 0.345842105382939</f>
        <v>0.34584210538293902</v>
      </c>
      <c r="Y55">
        <f xml:space="preserve"> 0.335173761528774</f>
        <v>0.33517376152877398</v>
      </c>
      <c r="Z55">
        <f xml:space="preserve"> 0.319010266491635</f>
        <v>0.319010266491635</v>
      </c>
      <c r="AA55">
        <v>30</v>
      </c>
    </row>
    <row r="56" spans="1:27">
      <c r="A56" s="8">
        <f t="shared" si="10"/>
        <v>31</v>
      </c>
      <c r="B56" s="4">
        <f xml:space="preserve"> ((EXP(1)^(-0.075857*A56)*F16)+E16+D16)*D9+D15</f>
        <v>496.49688272108756</v>
      </c>
      <c r="C56" s="4">
        <f xml:space="preserve"> 0.4*D9</f>
        <v>444.14814814814821</v>
      </c>
      <c r="D56" s="4">
        <f t="shared" si="11"/>
        <v>12475.011111111107</v>
      </c>
      <c r="E56" s="4">
        <f xml:space="preserve"> 7.8*LOG(D56/D9)+9.2</f>
        <v>17.394469998690148</v>
      </c>
      <c r="F56" s="4">
        <f t="shared" si="2"/>
        <v>19.626887244135133</v>
      </c>
      <c r="G56" s="4">
        <f xml:space="preserve"> D9/(SIN(F56/(57.2*2))*2)</f>
        <v>3251.9590739107639</v>
      </c>
      <c r="H56" s="4">
        <f t="shared" si="3"/>
        <v>106.62160898068079</v>
      </c>
      <c r="I56" s="4">
        <f t="shared" si="13"/>
        <v>21.350846511203805</v>
      </c>
      <c r="J56" s="4">
        <f xml:space="preserve"> +(B56-D10)/2</f>
        <v>247.74844136054378</v>
      </c>
      <c r="K56" s="4"/>
      <c r="L56" s="4">
        <f t="shared" si="12"/>
        <v>23.587590677188995</v>
      </c>
      <c r="M56" s="4">
        <f t="shared" si="6"/>
        <v>6445.9510555219103</v>
      </c>
      <c r="N56" s="4">
        <f t="shared" si="7"/>
        <v>9489.464629466318</v>
      </c>
      <c r="O56" s="2">
        <f xml:space="preserve"> N56*((D8/100)^0.5)/3000</f>
        <v>1.6436234874863433</v>
      </c>
      <c r="P56" s="4">
        <f t="shared" si="8"/>
        <v>12741.423703377081</v>
      </c>
      <c r="Q56" s="2">
        <f xml:space="preserve"> P56*((D8/100)^0.5)/3000</f>
        <v>2.2068793215011508</v>
      </c>
      <c r="R56" s="4">
        <f t="shared" si="9"/>
        <v>409.01675774134776</v>
      </c>
      <c r="S56">
        <f xml:space="preserve"> (B56-D15)/D9</f>
        <v>0.44700046827684048</v>
      </c>
      <c r="T56">
        <f xml:space="preserve"> 0.39457595545882</f>
        <v>0.39457595545882002</v>
      </c>
      <c r="U56">
        <f xml:space="preserve"> 0.380657543201315</f>
        <v>0.38065754320131501</v>
      </c>
      <c r="V56">
        <f xml:space="preserve"> 0.370647220294333</f>
        <v>0.370647220294333</v>
      </c>
      <c r="W56">
        <f xml:space="preserve"> 0.359241772848036</f>
        <v>0.35924177284803599</v>
      </c>
      <c r="X56">
        <f xml:space="preserve"> 0.345204894744282</f>
        <v>0.34520489474428201</v>
      </c>
      <c r="Y56">
        <f xml:space="preserve"> 0.334502143649525</f>
        <v>0.33450214364952502</v>
      </c>
      <c r="Z56">
        <f xml:space="preserve"> 0.318286673472152</f>
        <v>0.318286673472152</v>
      </c>
    </row>
    <row r="57" spans="1:27">
      <c r="A57" s="8">
        <f t="shared" si="10"/>
        <v>32</v>
      </c>
      <c r="B57" s="4">
        <f xml:space="preserve"> ((EXP(1)^(-0.075857*A57)*F16)+E16+D16)*D9+D15</f>
        <v>496.18355335721202</v>
      </c>
      <c r="C57" s="4">
        <f xml:space="preserve"> 0.4*D9</f>
        <v>444.14814814814821</v>
      </c>
      <c r="D57" s="4">
        <f t="shared" si="11"/>
        <v>12919.159259259255</v>
      </c>
      <c r="E57" s="4">
        <f xml:space="preserve"> 7.8*LOG(D57/D9)+9.2</f>
        <v>17.51297782345744</v>
      </c>
      <c r="F57" s="4">
        <f t="shared" si="2"/>
        <v>19.36092204131873</v>
      </c>
      <c r="G57" s="4">
        <f xml:space="preserve"> D9/(SIN(F57/(57.2*2))*2)</f>
        <v>3296.1957955215748</v>
      </c>
      <c r="H57" s="4">
        <f t="shared" si="3"/>
        <v>108.07199329578934</v>
      </c>
      <c r="I57" s="4">
        <f t="shared" si="13"/>
        <v>21.423227953098067</v>
      </c>
      <c r="J57" s="4">
        <f xml:space="preserve"> +(B57-D10)/2</f>
        <v>247.59177667860601</v>
      </c>
      <c r="K57" s="4"/>
      <c r="L57" s="4">
        <f t="shared" si="12"/>
        <v>23.652310094144234</v>
      </c>
      <c r="M57" s="4">
        <f t="shared" si="6"/>
        <v>6666.5130069722027</v>
      </c>
      <c r="N57" s="4">
        <f t="shared" si="7"/>
        <v>9755.7754251512015</v>
      </c>
      <c r="O57" s="2">
        <f xml:space="preserve"> N57*((D8/100)^0.5)/3000</f>
        <v>1.6897498703593747</v>
      </c>
      <c r="P57" s="4">
        <f t="shared" si="8"/>
        <v>13051.971220672778</v>
      </c>
      <c r="Q57" s="2">
        <f xml:space="preserve"> P57*((D8/100)^0.5)/3000</f>
        <v>2.2606677293132034</v>
      </c>
      <c r="R57" s="4">
        <f t="shared" si="9"/>
        <v>423.57899210686082</v>
      </c>
      <c r="S57">
        <f xml:space="preserve"> (B57-D15)/D9</f>
        <v>0.44671828372631883</v>
      </c>
      <c r="T57">
        <f xml:space="preserve"> 0.394133558621099</f>
        <v>0.394133558621099</v>
      </c>
      <c r="U57">
        <f xml:space="preserve"> 0.380173137968045</f>
        <v>0.38017313796804503</v>
      </c>
      <c r="V57">
        <f xml:space="preserve"> 0.370132710349202</f>
        <v>0.37013271034920198</v>
      </c>
      <c r="W57">
        <f xml:space="preserve"> 0.358693063839771</f>
        <v>0.35869306383977101</v>
      </c>
      <c r="X57">
        <f xml:space="preserve"> 0.344614233138812</f>
        <v>0.34461423313881201</v>
      </c>
      <c r="Y57">
        <f xml:space="preserve"> 0.333879588295371</f>
        <v>0.33387958829537101</v>
      </c>
      <c r="Z57">
        <f xml:space="preserve"> 0.317615939826689</f>
        <v>0.31761593982668901</v>
      </c>
    </row>
    <row r="58" spans="1:27">
      <c r="A58" s="8">
        <f t="shared" si="10"/>
        <v>33</v>
      </c>
      <c r="B58" s="4">
        <f>((EXP(1)^(-0.075857*A58)*F16)+E16+D16)*D9+D15</f>
        <v>495.89311309479325</v>
      </c>
      <c r="C58" s="4">
        <f xml:space="preserve"> 0.4*D9</f>
        <v>444.14814814814821</v>
      </c>
      <c r="D58" s="4">
        <f t="shared" si="11"/>
        <v>13363.307407407403</v>
      </c>
      <c r="E58" s="4">
        <f xml:space="preserve"> 7.8*LOG(D58/D9)+9.2</f>
        <v>17.627479537966178</v>
      </c>
      <c r="F58" s="4">
        <f t="shared" ref="F58:F75" si="14" xml:space="preserve"> ((10.54/(10^((E58+2.14)/10)))^0.5)*57.3</f>
        <v>19.107371629235914</v>
      </c>
      <c r="G58" s="4">
        <f xml:space="preserve"> D9/(SIN(F58/(57.2*2))*2)</f>
        <v>3339.5199345136075</v>
      </c>
      <c r="H58" s="4">
        <f t="shared" ref="H58:H75" si="15" xml:space="preserve"> G58/30.5</f>
        <v>109.49245686929861</v>
      </c>
      <c r="I58" s="4">
        <f t="shared" si="13"/>
        <v>21.491761348679951</v>
      </c>
      <c r="J58" s="4">
        <f xml:space="preserve"> +(B58-D10)/2</f>
        <v>247.44655654739663</v>
      </c>
      <c r="K58" s="4"/>
      <c r="L58" s="4">
        <f t="shared" si="12"/>
        <v>23.71333952873329</v>
      </c>
      <c r="M58" s="4">
        <f t="shared" ref="M58:M75" si="16" xml:space="preserve"> (((D58/2)^2)+((G58/2)^2))^0.5</f>
        <v>6887.1325357125834</v>
      </c>
      <c r="N58" s="4">
        <f t="shared" ref="N58:N75" si="17" xml:space="preserve"> (D58/2)+G58</f>
        <v>10021.173638217309</v>
      </c>
      <c r="O58" s="2">
        <f xml:space="preserve"> N58*((D8/100)^0.5)/3000</f>
        <v>1.7357181892862237</v>
      </c>
      <c r="P58" s="4">
        <f t="shared" ref="P58:P75" si="18" xml:space="preserve"> (D58/2)+(2*G58)</f>
        <v>13360.693572730917</v>
      </c>
      <c r="Q58" s="2">
        <f xml:space="preserve"> P58*((D8/100)^0.5)/3000</f>
        <v>2.3141400092328896</v>
      </c>
      <c r="R58" s="4">
        <f t="shared" si="9"/>
        <v>438.14122647237389</v>
      </c>
      <c r="S58">
        <f xml:space="preserve"> (B58-D15)/D9</f>
        <v>0.44645671310973084</v>
      </c>
      <c r="T58">
        <f xml:space="preserve"> 0.393723479425035</f>
        <v>0.39372347942503499</v>
      </c>
      <c r="U58">
        <f xml:space="preserve"> 0.379724119142206</f>
        <v>0.379724119142206</v>
      </c>
      <c r="V58">
        <f xml:space="preserve"> 0.369655785998314</f>
        <v>0.369655785998314</v>
      </c>
      <c r="W58">
        <f xml:space="preserve"> 0.358184438710032</f>
        <v>0.35818443871003203</v>
      </c>
      <c r="X58">
        <f xml:space="preserve"> 0.344066720101504</f>
        <v>0.34406672010150402</v>
      </c>
      <c r="Y58">
        <f xml:space="preserve"> 0.333302511387564</f>
        <v>0.333302511387564</v>
      </c>
      <c r="Z58">
        <f xml:space="preserve"> 0.316994204111938</f>
        <v>0.31699420411193802</v>
      </c>
    </row>
    <row r="59" spans="1:27">
      <c r="A59" s="8">
        <f t="shared" ref="A59:A75" si="19" xml:space="preserve"> 1+A58</f>
        <v>34</v>
      </c>
      <c r="B59" s="4">
        <f xml:space="preserve"> ((EXP(1)^(-0.075857*A59)*F16)+E16+D16)*D9+D15</f>
        <v>495.62388985637557</v>
      </c>
      <c r="C59" s="4">
        <f xml:space="preserve"> 0.4*D9</f>
        <v>444.14814814814821</v>
      </c>
      <c r="D59" s="4">
        <f t="shared" ref="D59:D75" si="20" xml:space="preserve"> D58+C59</f>
        <v>13807.455555555551</v>
      </c>
      <c r="E59" s="4">
        <f xml:space="preserve"> 7.8*LOG(D59/D9)+9.2</f>
        <v>17.738237158926445</v>
      </c>
      <c r="F59" s="4">
        <f t="shared" si="14"/>
        <v>18.865271922141623</v>
      </c>
      <c r="G59" s="4">
        <f xml:space="preserve"> D9/(SIN(F59/(57.2*2))*2)</f>
        <v>3381.9795945326759</v>
      </c>
      <c r="H59" s="4">
        <f t="shared" si="15"/>
        <v>110.88457686992381</v>
      </c>
      <c r="I59" s="4">
        <f t="shared" si="13"/>
        <v>21.556700382863699</v>
      </c>
      <c r="J59" s="4">
        <f xml:space="preserve"> +(B59-D10)/2</f>
        <v>247.31194492818778</v>
      </c>
      <c r="K59" s="4"/>
      <c r="L59" s="4">
        <f t="shared" si="12"/>
        <v>23.770924334074518</v>
      </c>
      <c r="M59" s="4">
        <f t="shared" si="16"/>
        <v>7107.8058305020768</v>
      </c>
      <c r="N59" s="4">
        <f t="shared" si="17"/>
        <v>10285.707372310451</v>
      </c>
      <c r="O59" s="2">
        <f xml:space="preserve"> N59*((D8/100)^0.5)/3000</f>
        <v>1.7815367760627474</v>
      </c>
      <c r="P59" s="4">
        <f t="shared" si="18"/>
        <v>13667.686966843128</v>
      </c>
      <c r="Q59" s="2">
        <f xml:space="preserve"> P59*((D8/100)^0.5)/3000</f>
        <v>2.367312824851926</v>
      </c>
      <c r="R59" s="4">
        <f t="shared" si="9"/>
        <v>452.70346083788689</v>
      </c>
      <c r="S59">
        <f xml:space="preserve"> (B59-D15)/D9</f>
        <v>0.44621425055345076</v>
      </c>
      <c r="T59">
        <f xml:space="preserve"> 0.393343357026534</f>
        <v>0.393343357026534</v>
      </c>
      <c r="U59">
        <f xml:space="preserve"> 0.379307901702531</f>
        <v>0.37930790170253098</v>
      </c>
      <c r="V59">
        <f xml:space="preserve"> 0.369213701567053</f>
        <v>0.36921370156705302</v>
      </c>
      <c r="W59">
        <f xml:space="preserve"> 0.357712969281419</f>
        <v>0.35771296928141899</v>
      </c>
      <c r="X59">
        <f xml:space="preserve"> 0.34355920357555</f>
        <v>0.34355920357554998</v>
      </c>
      <c r="Y59">
        <f xml:space="preserve"> 0.332767590668783</f>
        <v>0.33276759066878298</v>
      </c>
      <c r="Z59">
        <f xml:space="preserve"> 0.316417886967851</f>
        <v>0.316417886967851</v>
      </c>
    </row>
    <row r="60" spans="1:27">
      <c r="A60" s="8">
        <f t="shared" si="19"/>
        <v>35</v>
      </c>
      <c r="B60" s="4">
        <f xml:space="preserve"> ((EXP(1)^(-0.075857*A60)*F16)+E16+D16)*D9+D15</f>
        <v>495.37433371185051</v>
      </c>
      <c r="C60" s="4">
        <f xml:space="preserve"> 0.4*D9</f>
        <v>444.14814814814821</v>
      </c>
      <c r="D60" s="4">
        <f t="shared" si="20"/>
        <v>14251.603703703699</v>
      </c>
      <c r="E60" s="4">
        <f xml:space="preserve"> 7.8*LOG(D60/D9)+9.2</f>
        <v>17.845487809458202</v>
      </c>
      <c r="F60" s="4">
        <f t="shared" si="14"/>
        <v>18.633761690094769</v>
      </c>
      <c r="G60" s="4">
        <f xml:space="preserve"> D9/(SIN(F60/(57.2*2))*2)</f>
        <v>3423.618897155824</v>
      </c>
      <c r="H60" s="4">
        <f t="shared" si="15"/>
        <v>112.24979990674832</v>
      </c>
      <c r="I60" s="4">
        <f t="shared" si="13"/>
        <v>21.618274536687938</v>
      </c>
      <c r="J60" s="4">
        <f xml:space="preserve"> +(B60-D10)/2</f>
        <v>247.18716685592526</v>
      </c>
      <c r="K60" s="4"/>
      <c r="L60" s="4">
        <f t="shared" si="12"/>
        <v>23.82528634912526</v>
      </c>
      <c r="M60" s="4">
        <f t="shared" si="16"/>
        <v>7328.5294309360497</v>
      </c>
      <c r="N60" s="4">
        <f t="shared" si="17"/>
        <v>10549.420749007673</v>
      </c>
      <c r="O60" s="2">
        <f xml:space="preserve"> N60*((D8/100)^0.5)/3000</f>
        <v>1.8272132727702612</v>
      </c>
      <c r="P60" s="4">
        <f t="shared" si="18"/>
        <v>13973.039646163497</v>
      </c>
      <c r="Q60" s="2">
        <f xml:space="preserve"> P60*((D8/100)^0.5)/3000</f>
        <v>2.4202014603329429</v>
      </c>
      <c r="R60" s="4">
        <f t="shared" si="9"/>
        <v>467.26569520339996</v>
      </c>
      <c r="S60">
        <f xml:space="preserve"> (B60-D15)/D9</f>
        <v>0.44598950018980243</v>
      </c>
      <c r="T60">
        <f xml:space="preserve"> 0.39299100304411</f>
        <v>0.39299100304411</v>
      </c>
      <c r="U60">
        <f xml:space="preserve"> 0.378922089466781</f>
        <v>0.37892208946678102</v>
      </c>
      <c r="V60">
        <f xml:space="preserve"> 0.368803911955769</f>
        <v>0.368803911955769</v>
      </c>
      <c r="W60">
        <f xml:space="preserve"> 0.357275941283547</f>
        <v>0.357275941283547</v>
      </c>
      <c r="X60">
        <f xml:space="preserve"> 0.343088761765829</f>
        <v>0.34308876176582898</v>
      </c>
      <c r="Y60">
        <f xml:space="preserve"> 0.332271746576757</f>
        <v>0.33227174657675701</v>
      </c>
      <c r="Z60">
        <f xml:space="preserve"> 0.315883670511102</f>
        <v>0.315883670511102</v>
      </c>
      <c r="AA60">
        <v>35</v>
      </c>
    </row>
    <row r="61" spans="1:27">
      <c r="A61" s="8">
        <f t="shared" si="19"/>
        <v>36</v>
      </c>
      <c r="B61" s="4">
        <f xml:space="preserve"> ((EXP(1)^(-0.075857*A61)*F16)+E16+D16)*D9+D15</f>
        <v>495.14300795544005</v>
      </c>
      <c r="C61" s="4">
        <f xml:space="preserve"> 0.4*D9</f>
        <v>444.14814814814821</v>
      </c>
      <c r="D61" s="4">
        <f t="shared" si="20"/>
        <v>14695.751851851846</v>
      </c>
      <c r="E61" s="4">
        <f xml:space="preserve"> 7.8*LOG(D61/D9)+9.2</f>
        <v>17.94944677597146</v>
      </c>
      <c r="F61" s="4">
        <f t="shared" si="14"/>
        <v>18.412068781465837</v>
      </c>
      <c r="G61" s="4">
        <f xml:space="preserve"> D9/(SIN(F61/(57.2*2))*2)</f>
        <v>3464.4784239545424</v>
      </c>
      <c r="H61" s="4">
        <f t="shared" si="15"/>
        <v>113.58945652309976</v>
      </c>
      <c r="I61" s="4">
        <f t="shared" si="13"/>
        <v>21.676692067628327</v>
      </c>
      <c r="J61" s="4">
        <f xml:space="preserve"> +(B61-D10)/2</f>
        <v>247.07150397772003</v>
      </c>
      <c r="K61" s="4"/>
      <c r="L61" s="4">
        <f t="shared" si="12"/>
        <v>23.876626802426784</v>
      </c>
      <c r="M61" s="4">
        <f t="shared" si="16"/>
        <v>7549.300186793037</v>
      </c>
      <c r="N61" s="4">
        <f t="shared" si="17"/>
        <v>10812.354349880465</v>
      </c>
      <c r="O61" s="2">
        <f xml:space="preserve"> N61*((D8/100)^0.5)/3000</f>
        <v>1.8727547083431324</v>
      </c>
      <c r="P61" s="4">
        <f t="shared" si="18"/>
        <v>14276.832773835009</v>
      </c>
      <c r="Q61" s="2">
        <f xml:space="preserve"> P61*((D8/100)^0.5)/3000</f>
        <v>2.4728199735446745</v>
      </c>
      <c r="R61" s="4">
        <f t="shared" si="9"/>
        <v>481.82792956891302</v>
      </c>
      <c r="S61">
        <f xml:space="preserve"> (B61-D15)/D9</f>
        <v>0.44578116812098717</v>
      </c>
      <c r="T61">
        <f xml:space="preserve"> 0.39266438896028</f>
        <v>0.39266438896028</v>
      </c>
      <c r="U61">
        <f xml:space="preserve"> 0.378564461296828</f>
        <v>0.37856446129682803</v>
      </c>
      <c r="V61">
        <f xml:space="preserve"> 0.368424057987517</f>
        <v>0.36842405798751698</v>
      </c>
      <c r="W61">
        <f xml:space="preserve"> 0.356870838726875</f>
        <v>0.35687083872687497</v>
      </c>
      <c r="X61">
        <f xml:space="preserve"> 0.342652686318007</f>
        <v>0.34265268631800699</v>
      </c>
      <c r="Y61">
        <f xml:space="preserve"> 0.331812124515084</f>
        <v>0.33181212451508402</v>
      </c>
      <c r="Z61">
        <f xml:space="preserve"> 0.315388479233886</f>
        <v>0.31538847923388602</v>
      </c>
    </row>
    <row r="62" spans="1:27">
      <c r="A62" s="8">
        <f t="shared" si="19"/>
        <v>37</v>
      </c>
      <c r="B62" s="4">
        <f xml:space="preserve"> ((EXP(1)^(-0.075857*A62)*F16)+E16+D16)*D9+D15</f>
        <v>494.9285808345183</v>
      </c>
      <c r="C62" s="4">
        <f xml:space="preserve"> 0.4*D9</f>
        <v>444.14814814814821</v>
      </c>
      <c r="D62" s="4">
        <f t="shared" si="20"/>
        <v>15139.899999999994</v>
      </c>
      <c r="E62" s="4">
        <f xml:space="preserve"> 7.8*LOG(D62/D9)+9.2</f>
        <v>18.050310109765658</v>
      </c>
      <c r="F62" s="4">
        <f t="shared" si="14"/>
        <v>18.199498544326378</v>
      </c>
      <c r="G62" s="4">
        <f xml:space="preserve"> D9/(SIN(F62/(57.2*2))*2)</f>
        <v>3504.5955977436543</v>
      </c>
      <c r="H62" s="4">
        <f t="shared" si="15"/>
        <v>114.90477369651326</v>
      </c>
      <c r="I62" s="4">
        <f t="shared" si="13"/>
        <v>21.732142545162631</v>
      </c>
      <c r="J62" s="4">
        <f xml:space="preserve"> +(B62-D10)/2</f>
        <v>246.96429041725915</v>
      </c>
      <c r="K62" s="4"/>
      <c r="L62" s="4">
        <f t="shared" si="12"/>
        <v>23.925128781635213</v>
      </c>
      <c r="M62" s="4">
        <f t="shared" si="16"/>
        <v>7770.1152229829258</v>
      </c>
      <c r="N62" s="4">
        <f t="shared" si="17"/>
        <v>11074.54559774365</v>
      </c>
      <c r="O62" s="2">
        <f xml:space="preserve"> N62*((D8/100)^0.5)/3000</f>
        <v>1.9181675646030247</v>
      </c>
      <c r="P62" s="4">
        <f t="shared" si="18"/>
        <v>14579.141195487306</v>
      </c>
      <c r="Q62" s="2">
        <f xml:space="preserve"> P62*((D8/100)^0.5)/3000</f>
        <v>2.525181328130448</v>
      </c>
      <c r="R62" s="4">
        <f t="shared" si="9"/>
        <v>496.39016393442603</v>
      </c>
      <c r="S62">
        <f xml:space="preserve"> (B62-D15)/D9</f>
        <v>0.44558805497005693</v>
      </c>
      <c r="T62">
        <f xml:space="preserve"> 0.392361634443294</f>
        <v>0.39236163444329403</v>
      </c>
      <c r="U62">
        <f xml:space="preserve"> 0.378232958311456</f>
        <v>0.37823295831145598</v>
      </c>
      <c r="V62">
        <f xml:space="preserve"> 0.368071952826177</f>
        <v>0.368071952826177</v>
      </c>
      <c r="W62">
        <f xml:space="preserve"> 0.356495329418041</f>
        <v>0.35649532941804102</v>
      </c>
      <c r="X62">
        <f xml:space="preserve"> 0.342248466726414</f>
        <v>0.34224846672641401</v>
      </c>
      <c r="Y62">
        <f xml:space="preserve"> 0.331386078419198</f>
        <v>0.33138607841919798</v>
      </c>
      <c r="Z62">
        <f xml:space="preserve"> 0.314929462298087</f>
        <v>0.31492946229808699</v>
      </c>
    </row>
    <row r="63" spans="1:27">
      <c r="A63" s="8">
        <f t="shared" si="19"/>
        <v>38</v>
      </c>
      <c r="B63" s="4">
        <f xml:space="preserve"> ((EXP(1)^(-0.075857*A63)*F16)+E16+D16)*D9+D15</f>
        <v>494.72981788265218</v>
      </c>
      <c r="C63" s="4">
        <f xml:space="preserve"> 0.4*D9</f>
        <v>444.14814814814821</v>
      </c>
      <c r="D63" s="4">
        <f t="shared" si="20"/>
        <v>15584.048148148142</v>
      </c>
      <c r="E63" s="4">
        <f xml:space="preserve"> 7.8*LOG(D63/D9)+9.2</f>
        <v>18.14825685236957</v>
      </c>
      <c r="F63" s="4">
        <f t="shared" si="14"/>
        <v>17.995424042618243</v>
      </c>
      <c r="G63" s="4">
        <f xml:space="preserve"> D9/(SIN(F63/(57.2*2))*2)</f>
        <v>3544.0050129038227</v>
      </c>
      <c r="H63" s="4">
        <f t="shared" si="15"/>
        <v>116.1968856689778</v>
      </c>
      <c r="I63" s="4">
        <f t="shared" si="13"/>
        <v>21.784799018897136</v>
      </c>
      <c r="J63" s="4">
        <f xml:space="preserve"> +(B63-D10)/2</f>
        <v>246.86490894132609</v>
      </c>
      <c r="K63" s="4"/>
      <c r="L63" s="4">
        <f t="shared" si="12"/>
        <v>23.970959344434313</v>
      </c>
      <c r="M63" s="4">
        <f t="shared" si="16"/>
        <v>7990.9719092124042</v>
      </c>
      <c r="N63" s="4">
        <f t="shared" si="17"/>
        <v>11336.029086977895</v>
      </c>
      <c r="O63" s="2">
        <f xml:space="preserve"> N63*((D8/100)^0.5)/3000</f>
        <v>1.9634578334724346</v>
      </c>
      <c r="P63" s="4">
        <f t="shared" si="18"/>
        <v>14880.034099881716</v>
      </c>
      <c r="Q63" s="2">
        <f xml:space="preserve"> P63*((D8/100)^0.5)/3000</f>
        <v>2.5772975079352562</v>
      </c>
      <c r="R63" s="4">
        <f t="shared" si="9"/>
        <v>510.95239829993909</v>
      </c>
      <c r="S63">
        <f xml:space="preserve"> (B63-D15)/D9</f>
        <v>0.44540904897604811</v>
      </c>
      <c r="T63">
        <f xml:space="preserve"> 0.392080996521989</f>
        <v>0.39208099652198902</v>
      </c>
      <c r="U63">
        <f xml:space="preserve"> 0.377925672033294</f>
        <v>0.37792567203329402</v>
      </c>
      <c r="V63">
        <f xml:space="preserve"> 0.367745569386739</f>
        <v>0.36774556938673902</v>
      </c>
      <c r="W63">
        <f xml:space="preserve"> 0.356147251533322</f>
        <v>0.356147251533322</v>
      </c>
      <c r="X63">
        <f xml:space="preserve"> 0.341873775880957</f>
        <v>0.34187377588095702</v>
      </c>
      <c r="Y63">
        <f xml:space="preserve"> 0.330991155522853</f>
        <v>0.33099115552285302</v>
      </c>
      <c r="Z63">
        <f xml:space="preserve"> 0.314503977122873</f>
        <v>0.31450397712287298</v>
      </c>
    </row>
    <row r="64" spans="1:27">
      <c r="A64" s="8">
        <f t="shared" si="19"/>
        <v>39</v>
      </c>
      <c r="B64" s="4">
        <f xml:space="preserve"> ((EXP(1)^(-0.075857*A64)*F16)+E16+D16)*D9+D15</f>
        <v>494.54557481272377</v>
      </c>
      <c r="C64" s="4">
        <f xml:space="preserve"> 0.4*D9</f>
        <v>444.14814814814821</v>
      </c>
      <c r="D64" s="4">
        <f t="shared" si="20"/>
        <v>16028.19629629629</v>
      </c>
      <c r="E64" s="4">
        <f xml:space="preserve"> 7.8*LOG(D64/D9)+9.2</f>
        <v>18.243450948090562</v>
      </c>
      <c r="F64" s="4">
        <f t="shared" si="14"/>
        <v>17.799277746489032</v>
      </c>
      <c r="G64" s="4">
        <f xml:space="preserve"> D9/(SIN(F64/(57.2*2))*2)</f>
        <v>3582.7387228243806</v>
      </c>
      <c r="H64" s="4">
        <f t="shared" si="15"/>
        <v>117.46684337129116</v>
      </c>
      <c r="I64" s="4">
        <f t="shared" si="13"/>
        <v>21.834819881329313</v>
      </c>
      <c r="J64" s="4">
        <f xml:space="preserve"> +(B64-D10)/2</f>
        <v>246.77278740636189</v>
      </c>
      <c r="K64" s="4"/>
      <c r="L64" s="4">
        <f t="shared" si="12"/>
        <v>24.014271331511686</v>
      </c>
      <c r="M64" s="4">
        <f t="shared" si="16"/>
        <v>8211.8678336391804</v>
      </c>
      <c r="N64" s="4">
        <f t="shared" si="17"/>
        <v>11596.836870972526</v>
      </c>
      <c r="O64" s="2">
        <f xml:space="preserve"> N64*((D8/100)^0.5)/3000</f>
        <v>2.0086310667612497</v>
      </c>
      <c r="P64" s="4">
        <f t="shared" si="18"/>
        <v>15179.575593796906</v>
      </c>
      <c r="Q64" s="2">
        <f xml:space="preserve"> P64*((D8/100)^0.5)/3000</f>
        <v>2.6291796165788757</v>
      </c>
      <c r="R64" s="4">
        <f t="shared" si="9"/>
        <v>525.51463266545215</v>
      </c>
      <c r="S64">
        <f xml:space="preserve"> (B64-D15)/D9</f>
        <v>0.44524311959352419</v>
      </c>
      <c r="T64">
        <f xml:space="preserve"> 0.391820859551422</f>
        <v>0.39182085955142198</v>
      </c>
      <c r="U64">
        <f xml:space="preserve"> 0.377640833401628</f>
        <v>0.37764083340162802</v>
      </c>
      <c r="V64">
        <f xml:space="preserve"> 0.367443028665286</f>
        <v>0.367443028665286</v>
      </c>
      <c r="W64">
        <f xml:space="preserve"> 0.355824601172916</f>
        <v>0.35582460117291598</v>
      </c>
      <c r="X64">
        <f xml:space="preserve"> 0.341526456669841</f>
        <v>0.34152645666984099</v>
      </c>
      <c r="Y64">
        <f xml:space="preserve"> 0.330625082237443</f>
        <v>0.33062508223744302</v>
      </c>
      <c r="Z64">
        <f xml:space="preserve"> 0.314109574171245</f>
        <v>0.31410957417124502</v>
      </c>
    </row>
    <row r="65" spans="1:27">
      <c r="A65" s="8">
        <f t="shared" si="19"/>
        <v>40</v>
      </c>
      <c r="B65" s="4">
        <f xml:space="preserve"> ((EXP(1)^(-0.075857*A65)*F16)+E16+D16)*D9+D15</f>
        <v>494.37479092921865</v>
      </c>
      <c r="C65" s="4">
        <f xml:space="preserve"> 0.4*D9</f>
        <v>444.14814814814821</v>
      </c>
      <c r="D65" s="4">
        <f t="shared" si="20"/>
        <v>16472.344444444439</v>
      </c>
      <c r="E65" s="4">
        <f xml:space="preserve"> 7.8*LOG(D65/D9)+9.2</f>
        <v>18.336042895092312</v>
      </c>
      <c r="F65" s="4">
        <f t="shared" si="14"/>
        <v>17.610544440617787</v>
      </c>
      <c r="G65" s="4">
        <f xml:space="preserve"> D9/(SIN(F65/(57.2*2))*2)</f>
        <v>3620.8264910558892</v>
      </c>
      <c r="H65" s="4">
        <f t="shared" si="15"/>
        <v>118.71562265757014</v>
      </c>
      <c r="I65" s="4">
        <f t="shared" si="13"/>
        <v>21.882350475424666</v>
      </c>
      <c r="J65" s="4">
        <f xml:space="preserve"> +(B65-D10)/2</f>
        <v>246.68739546460932</v>
      </c>
      <c r="K65" s="4"/>
      <c r="L65" s="4">
        <f t="shared" si="12"/>
        <v>24.055204930634648</v>
      </c>
      <c r="M65" s="4">
        <f t="shared" si="16"/>
        <v>8432.8007799122079</v>
      </c>
      <c r="N65" s="4">
        <f t="shared" si="17"/>
        <v>11856.99871327811</v>
      </c>
      <c r="O65" s="2">
        <f xml:space="preserve"> N65*((D8/100)^0.5)/3000</f>
        <v>2.0536924196676489</v>
      </c>
      <c r="P65" s="4">
        <f t="shared" si="18"/>
        <v>15477.825204333998</v>
      </c>
      <c r="Q65" s="2">
        <f xml:space="preserve"> P65*((D8/100)^0.5)/3000</f>
        <v>2.680837964457663</v>
      </c>
      <c r="R65" s="4">
        <f t="shared" si="9"/>
        <v>540.07686703096522</v>
      </c>
      <c r="S65">
        <f xml:space="preserve"> (B65-D15)/D9</f>
        <v>0.44508931155968035</v>
      </c>
      <c r="T65">
        <f xml:space="preserve"> 0.391579725911529</f>
        <v>0.39157972591152901</v>
      </c>
      <c r="U65">
        <f xml:space="preserve"> 0.377376802587839</f>
        <v>0.37737680258783901</v>
      </c>
      <c r="V65">
        <f xml:space="preserve"> 0.367162588921482</f>
        <v>0.36716258892148201</v>
      </c>
      <c r="W65">
        <f xml:space="preserve"> 0.355525520824407</f>
        <v>0.35552552082440703</v>
      </c>
      <c r="X65">
        <f xml:space="preserve"> 0.341204509560985</f>
        <v>0.34120450956098503</v>
      </c>
      <c r="Y65">
        <f xml:space="preserve"> 0.330285751062847</f>
        <v>0.33028575106284702</v>
      </c>
      <c r="Z65">
        <f xml:space="preserve"> 0.313743982847939</f>
        <v>0.31374398284793897</v>
      </c>
      <c r="AA65">
        <v>40</v>
      </c>
    </row>
    <row r="66" spans="1:27">
      <c r="A66" s="8">
        <f t="shared" si="19"/>
        <v>41</v>
      </c>
      <c r="B66" s="4">
        <f xml:space="preserve"> ((EXP(1)^(-0.075857*A66)*F16)+E16+D16)*D9+D15</f>
        <v>494.21648302175464</v>
      </c>
      <c r="C66" s="4">
        <f xml:space="preserve"> 0.4*D9</f>
        <v>444.14814814814821</v>
      </c>
      <c r="D66" s="4">
        <f t="shared" si="20"/>
        <v>16916.492592592589</v>
      </c>
      <c r="E66" s="4">
        <f xml:space="preserve"> 7.8*LOG(D66/D9)+9.2</f>
        <v>18.426171176757798</v>
      </c>
      <c r="F66" s="4">
        <f t="shared" si="14"/>
        <v>17.428755144477876</v>
      </c>
      <c r="G66" s="4">
        <f xml:space="preserve"> D9/(SIN(F66/(57.2*2))*2)</f>
        <v>3658.2960116003401</v>
      </c>
      <c r="H66" s="4">
        <f t="shared" si="15"/>
        <v>119.94413152788</v>
      </c>
      <c r="I66" s="4">
        <f t="shared" si="13"/>
        <v>21.927524487824314</v>
      </c>
      <c r="J66" s="4">
        <f xml:space="preserve"> +(B66-D10)/2</f>
        <v>246.60824151087732</v>
      </c>
      <c r="K66" s="4"/>
      <c r="L66" s="4">
        <f t="shared" si="12"/>
        <v>24.093889031702474</v>
      </c>
      <c r="M66" s="4">
        <f t="shared" si="16"/>
        <v>8653.7687070970842</v>
      </c>
      <c r="N66" s="4">
        <f t="shared" si="17"/>
        <v>12116.542307896634</v>
      </c>
      <c r="O66" s="2">
        <f xml:space="preserve"> N66*((D8/100)^0.5)/3000</f>
        <v>2.0986466889334836</v>
      </c>
      <c r="P66" s="4">
        <f t="shared" si="18"/>
        <v>15774.838319496976</v>
      </c>
      <c r="Q66" s="2">
        <f xml:space="preserve"> P66*((D8/100)^0.5)/3000</f>
        <v>2.7322821450553212</v>
      </c>
    </row>
    <row r="67" spans="1:27">
      <c r="A67" s="8">
        <f t="shared" si="19"/>
        <v>42</v>
      </c>
      <c r="B67" s="4">
        <f xml:space="preserve"> ((EXP(1)^(-0.075857*A67)*F16)+E16+D16)*D9+D15</f>
        <v>494.06973970469659</v>
      </c>
      <c r="C67" s="4">
        <f xml:space="preserve"> 0.4*D9</f>
        <v>444.14814814814821</v>
      </c>
      <c r="D67" s="4">
        <f t="shared" si="20"/>
        <v>17360.640740740739</v>
      </c>
      <c r="E67" s="4">
        <f xml:space="preserve"> 7.8*LOG(D67/D9)+9.2</f>
        <v>18.513963507515825</v>
      </c>
      <c r="F67" s="4">
        <f t="shared" si="14"/>
        <v>17.253481877759342</v>
      </c>
      <c r="G67" s="4">
        <f xml:space="preserve"> D9/(SIN(F67/(57.2*2))*2)</f>
        <v>3695.1731028351646</v>
      </c>
      <c r="H67" s="4">
        <f t="shared" si="15"/>
        <v>121.15321648639885</v>
      </c>
      <c r="I67" s="4">
        <f t="shared" si="13"/>
        <v>21.970465161082924</v>
      </c>
      <c r="J67" s="4">
        <f xml:space="preserve"> +(B67-D10)/2</f>
        <v>246.53486985234829</v>
      </c>
      <c r="K67" s="4"/>
      <c r="L67" s="4">
        <f t="shared" si="12"/>
        <v>24.130442405395677</v>
      </c>
      <c r="M67" s="4">
        <f t="shared" si="16"/>
        <v>8874.7697320688785</v>
      </c>
      <c r="N67" s="4">
        <f t="shared" si="17"/>
        <v>12375.493473205534</v>
      </c>
      <c r="O67" s="2">
        <f xml:space="preserve"> N67*((D8/100)^0.5)/3000</f>
        <v>2.1434983464329016</v>
      </c>
      <c r="P67" s="4">
        <f t="shared" si="18"/>
        <v>16070.666576040698</v>
      </c>
      <c r="Q67" s="2">
        <f xml:space="preserve"> P67*((D8/100)^0.5)/3000</f>
        <v>2.783521102120146</v>
      </c>
    </row>
    <row r="68" spans="1:27">
      <c r="A68" s="8">
        <f t="shared" si="19"/>
        <v>43</v>
      </c>
      <c r="B68" s="4">
        <f xml:space="preserve"> ((EXP(1)^(-0.075857*A68)*F16)+E16+D16)*D9+D15</f>
        <v>493.9337161702681</v>
      </c>
      <c r="C68" s="4">
        <f xml:space="preserve"> 0.4*D9</f>
        <v>444.14814814814821</v>
      </c>
      <c r="D68" s="4">
        <f t="shared" si="20"/>
        <v>17804.788888888888</v>
      </c>
      <c r="E68" s="4">
        <f xml:space="preserve"> 7.8*LOG(D68/D9)+9.2</f>
        <v>18.59953792126278</v>
      </c>
      <c r="F68" s="4">
        <f t="shared" si="14"/>
        <v>17.084333135163739</v>
      </c>
      <c r="G68" s="4">
        <f xml:space="preserve"> D9/(SIN(F68/(57.2*2))*2)</f>
        <v>3731.4818788146417</v>
      </c>
      <c r="H68" s="4">
        <f t="shared" si="15"/>
        <v>122.34366815785711</v>
      </c>
      <c r="I68" s="4">
        <f t="shared" si="13"/>
        <v>22.011286352420157</v>
      </c>
      <c r="J68" s="4">
        <f xml:space="preserve"> +(B68-D10)/2</f>
        <v>246.46685808513405</v>
      </c>
      <c r="K68" s="4"/>
      <c r="L68" s="4">
        <f t="shared" si="12"/>
        <v>24.164974732257203</v>
      </c>
      <c r="M68" s="4">
        <f t="shared" si="16"/>
        <v>9095.8021140224791</v>
      </c>
      <c r="N68" s="4">
        <f t="shared" si="17"/>
        <v>12633.876323259086</v>
      </c>
      <c r="O68" s="2">
        <f xml:space="preserve"> N68*((D8/100)^0.5)/3000</f>
        <v>2.1882515688426221</v>
      </c>
      <c r="P68" s="4">
        <f t="shared" si="18"/>
        <v>16365.358202073727</v>
      </c>
      <c r="Q68" s="2">
        <f xml:space="preserve"> P68*((D8/100)^0.5)/3000</f>
        <v>2.8345631890055749</v>
      </c>
    </row>
    <row r="69" spans="1:27">
      <c r="A69" s="8">
        <f t="shared" si="19"/>
        <v>44</v>
      </c>
      <c r="B69" s="4">
        <f xml:space="preserve"> ((EXP(1)^(-0.075857*A69)*F16)+E16+D16)*D9+D15</f>
        <v>493.80762932495651</v>
      </c>
      <c r="C69" s="4">
        <f xml:space="preserve"> 0.4*D9</f>
        <v>444.14814814814821</v>
      </c>
      <c r="D69" s="4">
        <f t="shared" si="20"/>
        <v>18248.937037037038</v>
      </c>
      <c r="E69" s="4">
        <f xml:space="preserve"> 7.8*LOG(D69/D9)+9.2</f>
        <v>18.683003725657613</v>
      </c>
      <c r="F69" s="4">
        <f t="shared" si="14"/>
        <v>16.920949959395568</v>
      </c>
      <c r="G69" s="4">
        <f xml:space="preserve"> D9/(SIN(F69/(57.2*2))*2)</f>
        <v>3767.2449010816654</v>
      </c>
      <c r="H69" s="4">
        <f t="shared" si="15"/>
        <v>123.51622626497263</v>
      </c>
      <c r="I69" s="4">
        <f t="shared" si="13"/>
        <v>22.050093461721112</v>
      </c>
      <c r="J69" s="4">
        <f xml:space="preserve"> +(B69-D10)/2</f>
        <v>246.40381466247825</v>
      </c>
      <c r="K69" s="4"/>
      <c r="L69" s="4">
        <f t="shared" si="12"/>
        <v>24.197587504398285</v>
      </c>
      <c r="M69" s="4">
        <f t="shared" si="16"/>
        <v>9316.8642408063988</v>
      </c>
      <c r="N69" s="4">
        <f t="shared" si="17"/>
        <v>12891.713419600184</v>
      </c>
      <c r="O69" s="2">
        <f xml:space="preserve"> N69*((D8/100)^0.5)/3000</f>
        <v>2.2329102639365033</v>
      </c>
      <c r="P69" s="4">
        <f t="shared" si="18"/>
        <v>16658.95832068185</v>
      </c>
      <c r="Q69" s="2">
        <f xml:space="preserve"> P69*((D8/100)^0.5)/3000</f>
        <v>2.8854162212593266</v>
      </c>
    </row>
    <row r="70" spans="1:27">
      <c r="A70" s="8">
        <f t="shared" si="19"/>
        <v>45</v>
      </c>
      <c r="B70" s="4">
        <f xml:space="preserve"> ((EXP(1)^(-0.075857*A70)*F16)+E16+D16)*D9+D15</f>
        <v>493.69075328120852</v>
      </c>
      <c r="C70" s="4">
        <f xml:space="preserve"> 0.4*D9</f>
        <v>444.14814814814821</v>
      </c>
      <c r="D70" s="4">
        <f t="shared" si="20"/>
        <v>18693.085185185188</v>
      </c>
      <c r="E70" s="4">
        <f xml:space="preserve"> 7.8*LOG(D70/D9)+9.2</f>
        <v>18.764462341648034</v>
      </c>
      <c r="F70" s="4">
        <f t="shared" si="14"/>
        <v>16.763002520844477</v>
      </c>
      <c r="G70" s="4">
        <f xml:space="preserve"> D9/(SIN(F70/(57.2*2))*2)</f>
        <v>3802.4833136235779</v>
      </c>
      <c r="H70" s="4">
        <f t="shared" si="15"/>
        <v>124.67158405323207</v>
      </c>
      <c r="I70" s="4">
        <f t="shared" si="13"/>
        <v>22.086984247687454</v>
      </c>
      <c r="J70" s="4">
        <f xml:space="preserve"> +(B70-D10)/2</f>
        <v>246.34537664060426</v>
      </c>
      <c r="K70" s="4"/>
      <c r="L70" s="4">
        <f t="shared" si="12"/>
        <v>24.22837481827456</v>
      </c>
      <c r="M70" s="4">
        <f t="shared" si="16"/>
        <v>9537.9546168318448</v>
      </c>
      <c r="N70" s="4">
        <f t="shared" si="17"/>
        <v>13149.025906216171</v>
      </c>
      <c r="O70" s="2">
        <f xml:space="preserve"> N70*((D8/100)^0.5)/3000</f>
        <v>2.277478093960581</v>
      </c>
      <c r="P70" s="4">
        <f t="shared" si="18"/>
        <v>16951.509219839751</v>
      </c>
      <c r="Q70" s="2">
        <f xml:space="preserve"> P70*((D8/100)^0.5)/3000</f>
        <v>2.9360875233734713</v>
      </c>
    </row>
    <row r="71" spans="1:27">
      <c r="A71" s="8">
        <f t="shared" si="19"/>
        <v>46</v>
      </c>
      <c r="B71" s="4">
        <f xml:space="preserve"> ((EXP(1)^(-0.075857*A71)*F16)+E16+D16)*D9+D15</f>
        <v>493.58241517846324</v>
      </c>
      <c r="C71" s="4">
        <f xml:space="preserve"> 0.4*D9</f>
        <v>444.14814814814821</v>
      </c>
      <c r="D71" s="4">
        <f t="shared" si="20"/>
        <v>19137.233333333337</v>
      </c>
      <c r="E71" s="4">
        <f xml:space="preserve"> 7.8*LOG(D71/D9)+9.2</f>
        <v>18.844008044402941</v>
      </c>
      <c r="F71" s="4">
        <f t="shared" si="14"/>
        <v>16.610187128261522</v>
      </c>
      <c r="G71" s="4">
        <f xml:space="preserve"> D9/(SIN(F71/(57.2*2))*2)</f>
        <v>3837.2169631964721</v>
      </c>
      <c r="H71" s="4">
        <f t="shared" si="15"/>
        <v>125.81039223594991</v>
      </c>
      <c r="I71" s="4">
        <f t="shared" si="13"/>
        <v>22.122049547929095</v>
      </c>
      <c r="J71" s="4">
        <f xml:space="preserve"> +(B71-D10)/2</f>
        <v>246.29120758923162</v>
      </c>
      <c r="K71" s="4"/>
      <c r="L71" s="4">
        <f t="shared" si="12"/>
        <v>24.257424073936946</v>
      </c>
      <c r="M71" s="4">
        <f t="shared" si="16"/>
        <v>9759.0718523470168</v>
      </c>
      <c r="N71" s="4">
        <f t="shared" si="17"/>
        <v>13405.83362986314</v>
      </c>
      <c r="O71" s="2">
        <f xml:space="preserve"> N71*((D8/100)^0.5)/3000</f>
        <v>2.3219584964738469</v>
      </c>
      <c r="P71" s="4">
        <f t="shared" si="18"/>
        <v>17243.050593059612</v>
      </c>
      <c r="Q71" s="2">
        <f xml:space="preserve"> P71*((D8/100)^0.5)/3000</f>
        <v>2.9865839704659916</v>
      </c>
    </row>
    <row r="72" spans="1:27">
      <c r="A72" s="8">
        <f t="shared" si="19"/>
        <v>47</v>
      </c>
      <c r="B72" s="4">
        <f xml:space="preserve"> ((EXP(1)^(-0.075857*A72)*F16)+E16+D16)*D9+D15</f>
        <v>493.48199130946455</v>
      </c>
      <c r="C72" s="4">
        <f xml:space="preserve"> 0.4*D9</f>
        <v>444.14814814814821</v>
      </c>
      <c r="D72" s="4">
        <f t="shared" si="20"/>
        <v>19581.381481481487</v>
      </c>
      <c r="E72" s="4">
        <f xml:space="preserve"> 7.8*LOG(D72/D9)+9.2</f>
        <v>18.921728619227366</v>
      </c>
      <c r="F72" s="4">
        <f t="shared" si="14"/>
        <v>16.462223607513369</v>
      </c>
      <c r="G72" s="4">
        <f xml:space="preserve"> D9/(SIN(F72/(57.2*2))*2)</f>
        <v>3871.4645069042558</v>
      </c>
      <c r="H72" s="4">
        <f t="shared" si="15"/>
        <v>126.93326252145101</v>
      </c>
      <c r="I72" s="4">
        <f t="shared" si="13"/>
        <v>22.155373916245878</v>
      </c>
      <c r="J72" s="4">
        <f xml:space="preserve"> +(B72-D10)/2</f>
        <v>246.24099565473227</v>
      </c>
      <c r="K72" s="4"/>
      <c r="L72" s="4">
        <f t="shared" si="12"/>
        <v>24.284816593680098</v>
      </c>
      <c r="M72" s="4">
        <f t="shared" si="16"/>
        <v>9980.2146538980505</v>
      </c>
      <c r="N72" s="4">
        <f t="shared" si="17"/>
        <v>13662.155247645</v>
      </c>
      <c r="O72" s="2">
        <f xml:space="preserve"> N72*((D8/100)^0.5)/3000</f>
        <v>2.3663547029814898</v>
      </c>
      <c r="P72" s="4">
        <f t="shared" si="18"/>
        <v>17533.619754549254</v>
      </c>
      <c r="Q72" s="2">
        <f xml:space="preserve"> P72*((D8/100)^0.5)/3000</f>
        <v>3.0369120255472657</v>
      </c>
    </row>
    <row r="73" spans="1:27">
      <c r="A73" s="8">
        <f t="shared" si="19"/>
        <v>48</v>
      </c>
      <c r="B73" s="4">
        <f xml:space="preserve"> ((EXP(1)^(-0.075857*A73)*F16)+E16+D16)*D9+D15</f>
        <v>493.38890352955036</v>
      </c>
      <c r="C73" s="4">
        <f xml:space="preserve"> 0.4*D9</f>
        <v>444.14814814814821</v>
      </c>
      <c r="D73" s="4">
        <f t="shared" si="20"/>
        <v>20025.529629629636</v>
      </c>
      <c r="E73" s="4">
        <f xml:space="preserve"> 7.8*LOG(D73/D9)+9.2</f>
        <v>18.99770594390418</v>
      </c>
      <c r="F73" s="4">
        <f t="shared" si="14"/>
        <v>16.318852995882786</v>
      </c>
      <c r="G73" s="4">
        <f xml:space="preserve"> D9/(SIN(F73/(57.2*2))*2)</f>
        <v>3905.2435086387195</v>
      </c>
      <c r="H73" s="4">
        <f t="shared" si="15"/>
        <v>128.04077077503999</v>
      </c>
      <c r="I73" s="4">
        <f t="shared" si="13"/>
        <v>22.187036188265374</v>
      </c>
      <c r="J73" s="4">
        <f xml:space="preserve"> +(B73-D10)/2</f>
        <v>246.19445176477518</v>
      </c>
      <c r="K73" s="4"/>
      <c r="L73" s="4">
        <f t="shared" si="12"/>
        <v>24.31062817097629</v>
      </c>
      <c r="M73" s="4">
        <f t="shared" si="16"/>
        <v>10201.381815824503</v>
      </c>
      <c r="N73" s="4">
        <f t="shared" si="17"/>
        <v>13918.008323453538</v>
      </c>
      <c r="O73" s="2">
        <f xml:space="preserve"> N73*((D8/100)^0.5)/3000</f>
        <v>2.4106697556388061</v>
      </c>
      <c r="P73" s="4">
        <f t="shared" si="18"/>
        <v>17823.251832092257</v>
      </c>
      <c r="Q73" s="2">
        <f xml:space="preserve"> P73*((D8/100)^0.5)/3000</f>
        <v>3.0870777729278869</v>
      </c>
    </row>
    <row r="74" spans="1:27">
      <c r="A74" s="8">
        <f t="shared" si="19"/>
        <v>49</v>
      </c>
      <c r="B74" s="4">
        <f xml:space="preserve"> ((EXP(1)^(-0.075857*A74)*F16)+E16+D16)*D9+D15</f>
        <v>493.30261592824843</v>
      </c>
      <c r="C74" s="4">
        <f xml:space="preserve"> 0.4*D9</f>
        <v>444.14814814814821</v>
      </c>
      <c r="D74" s="4">
        <f t="shared" si="20"/>
        <v>20469.677777777786</v>
      </c>
      <c r="E74" s="4">
        <f xml:space="preserve"> 7.8*LOG(D74/D9)+9.2</f>
        <v>19.072016507148653</v>
      </c>
      <c r="F74" s="4">
        <f t="shared" si="14"/>
        <v>16.179835507865274</v>
      </c>
      <c r="G74" s="4">
        <f xml:space="preserve"> D9/(SIN(F74/(57.2*2))*2)</f>
        <v>3938.5705257534983</v>
      </c>
      <c r="H74" s="4">
        <f t="shared" si="15"/>
        <v>129.13345986077044</v>
      </c>
      <c r="I74" s="4">
        <f t="shared" si="13"/>
        <v>22.217109984885084</v>
      </c>
      <c r="J74" s="4">
        <f xml:space="preserve"> +(B74-D10)/2</f>
        <v>246.15130796412421</v>
      </c>
      <c r="K74" s="4"/>
      <c r="L74" s="4">
        <f t="shared" si="12"/>
        <v>24.334929558905252</v>
      </c>
      <c r="M74" s="4">
        <f t="shared" si="16"/>
        <v>10422.572212659214</v>
      </c>
      <c r="N74" s="4">
        <f t="shared" si="17"/>
        <v>14173.409414642392</v>
      </c>
      <c r="O74" s="2">
        <f xml:space="preserve"> N74*((D8/100)^0.5)/3000</f>
        <v>2.4549065222635686</v>
      </c>
      <c r="P74" s="4">
        <f t="shared" si="18"/>
        <v>18111.97994039589</v>
      </c>
      <c r="Q74" s="2">
        <f xml:space="preserve"> P74*((D8/100)^0.5)/3000</f>
        <v>3.1370869482434007</v>
      </c>
    </row>
    <row r="75" spans="1:27">
      <c r="A75" s="8">
        <f t="shared" si="19"/>
        <v>50</v>
      </c>
      <c r="B75" s="4">
        <f xml:space="preserve"> ((EXP(1)^(-0.075857*A75)*F16)+E16+D16)*D9+D15</f>
        <v>493.2226317440161</v>
      </c>
      <c r="C75" s="4">
        <f xml:space="preserve"> 0.4*D9</f>
        <v>444.14814814814821</v>
      </c>
      <c r="D75" s="4">
        <f t="shared" si="20"/>
        <v>20913.825925925936</v>
      </c>
      <c r="E75" s="4">
        <f xml:space="preserve"> 7.8*LOG(D75/D9)+9.2</f>
        <v>19.144731871406435</v>
      </c>
      <c r="F75" s="4">
        <f t="shared" si="14"/>
        <v>16.044948735371406</v>
      </c>
      <c r="G75" s="4">
        <f xml:space="preserve"> D9/(SIN(F75/(57.2*2))*2)</f>
        <v>3971.4611871497418</v>
      </c>
      <c r="H75" s="4">
        <f t="shared" si="15"/>
        <v>130.21184220163087</v>
      </c>
      <c r="I75" s="4">
        <f t="shared" si="13"/>
        <v>22.245664161545573</v>
      </c>
      <c r="J75" s="4">
        <f xml:space="preserve"> +(B75-D10)/2</f>
        <v>246.11131587200805</v>
      </c>
      <c r="K75" s="4"/>
      <c r="L75" s="4">
        <f t="shared" si="12"/>
        <v>24.357786905902454</v>
      </c>
      <c r="M75" s="4">
        <f t="shared" si="16"/>
        <v>10643.784792320925</v>
      </c>
      <c r="N75" s="4">
        <f t="shared" si="17"/>
        <v>14428.37415011271</v>
      </c>
      <c r="O75" s="2">
        <f xml:space="preserve"> N75*((D8/100)^0.5)/3000</f>
        <v>2.4990677098608636</v>
      </c>
      <c r="P75" s="4">
        <f t="shared" si="18"/>
        <v>18399.835337262452</v>
      </c>
      <c r="Q75" s="2">
        <f xml:space="preserve"> P75*((D8/100)^0.5)/3000</f>
        <v>3.1869449655039803</v>
      </c>
    </row>
    <row r="79" spans="1:27">
      <c r="A79" s="8" t="s">
        <v>71</v>
      </c>
      <c r="D79" s="7">
        <f t="shared" ref="D79:D85" si="21">D8</f>
        <v>27</v>
      </c>
    </row>
    <row r="80" spans="1:27">
      <c r="A80" s="8" t="s">
        <v>72</v>
      </c>
      <c r="D80" s="7">
        <f t="shared" si="21"/>
        <v>1110.3703703703704</v>
      </c>
    </row>
    <row r="81" spans="1:6">
      <c r="A81" s="8" t="s">
        <v>73</v>
      </c>
      <c r="D81" s="7">
        <f t="shared" si="21"/>
        <v>1</v>
      </c>
    </row>
    <row r="82" spans="1:6">
      <c r="A82" s="8" t="s">
        <v>74</v>
      </c>
      <c r="D82" s="7">
        <f t="shared" si="21"/>
        <v>2.3812500000000001</v>
      </c>
    </row>
    <row r="83" spans="1:6">
      <c r="A83" s="8" t="s">
        <v>4</v>
      </c>
      <c r="D83" s="5" t="str">
        <f t="shared" si="21"/>
        <v>y</v>
      </c>
    </row>
    <row r="84" spans="1:6">
      <c r="A84" s="8" t="s">
        <v>5</v>
      </c>
      <c r="D84">
        <f t="shared" si="21"/>
        <v>0.8</v>
      </c>
    </row>
    <row r="85" spans="1:6">
      <c r="A85" s="8" t="s">
        <v>6</v>
      </c>
      <c r="D85" s="4" t="e">
        <f t="shared" si="21"/>
        <v>#N/A</v>
      </c>
    </row>
    <row r="87" spans="1:6">
      <c r="A87" s="8" t="s">
        <v>8</v>
      </c>
      <c r="C87" s="4">
        <f>F20</f>
        <v>26.46</v>
      </c>
      <c r="D87" s="1" t="s">
        <v>36</v>
      </c>
      <c r="E87" s="4">
        <f>H20</f>
        <v>27.54</v>
      </c>
      <c r="F87" t="s">
        <v>20</v>
      </c>
    </row>
    <row r="89" spans="1:6">
      <c r="A89" s="8" t="s">
        <v>75</v>
      </c>
      <c r="B89" t="s">
        <v>32</v>
      </c>
      <c r="C89" t="s">
        <v>48</v>
      </c>
      <c r="D89" s="10" t="s">
        <v>76</v>
      </c>
      <c r="E89" s="10"/>
    </row>
    <row r="90" spans="1:6">
      <c r="A90" s="8" t="s">
        <v>32</v>
      </c>
      <c r="B90" s="6" t="s">
        <v>46</v>
      </c>
      <c r="C90" s="6" t="s">
        <v>77</v>
      </c>
      <c r="D90" s="10" t="s">
        <v>78</v>
      </c>
      <c r="E90" s="10"/>
    </row>
    <row r="91" spans="1:6">
      <c r="A91" s="8" t="s">
        <v>79</v>
      </c>
      <c r="B91" s="4">
        <f>D18</f>
        <v>576.13236173940857</v>
      </c>
      <c r="C91" s="2">
        <v>2</v>
      </c>
      <c r="D91" s="9">
        <f>(B91-D10)/2</f>
        <v>287.56618086970428</v>
      </c>
    </row>
    <row r="92" spans="1:6">
      <c r="A92" s="8" t="s">
        <v>80</v>
      </c>
      <c r="B92" s="4">
        <f>D20</f>
        <v>559.15748181892616</v>
      </c>
      <c r="C92" s="2">
        <f>C91+D19</f>
        <v>268.48888888888888</v>
      </c>
      <c r="D92" s="9">
        <f>(B92-D10)/2</f>
        <v>279.07874090946308</v>
      </c>
    </row>
    <row r="93" spans="1:6">
      <c r="A93" s="8" t="s">
        <v>81</v>
      </c>
      <c r="B93" s="4">
        <f t="shared" ref="B93:B124" si="22">B26</f>
        <v>533.96206256588323</v>
      </c>
      <c r="C93" s="2">
        <f t="shared" ref="C93:C124" si="23">C92+C26</f>
        <v>351.76666666666665</v>
      </c>
      <c r="D93" s="9">
        <f t="shared" ref="D93:D124" si="24">J26</f>
        <v>266.48103128294161</v>
      </c>
    </row>
    <row r="94" spans="1:6">
      <c r="A94" s="8">
        <v>2</v>
      </c>
      <c r="B94" s="4">
        <f t="shared" si="22"/>
        <v>530.91185501110454</v>
      </c>
      <c r="C94" s="2">
        <f t="shared" si="23"/>
        <v>551.63333333333333</v>
      </c>
      <c r="D94" s="9">
        <f t="shared" si="24"/>
        <v>264.95592750555227</v>
      </c>
    </row>
    <row r="95" spans="1:6">
      <c r="A95" s="8">
        <v>3</v>
      </c>
      <c r="B95" s="4">
        <f t="shared" si="22"/>
        <v>528.08446892866323</v>
      </c>
      <c r="C95" s="2">
        <f t="shared" si="23"/>
        <v>790.36296296296291</v>
      </c>
      <c r="D95" s="9">
        <f t="shared" si="24"/>
        <v>263.54223446433161</v>
      </c>
    </row>
    <row r="96" spans="1:6">
      <c r="A96" s="8">
        <v>4</v>
      </c>
      <c r="B96" s="4">
        <f t="shared" si="22"/>
        <v>525.4636269316461</v>
      </c>
      <c r="C96" s="2">
        <f t="shared" si="23"/>
        <v>1067.9555555555555</v>
      </c>
      <c r="D96" s="9">
        <f t="shared" si="24"/>
        <v>262.23181346582305</v>
      </c>
    </row>
    <row r="97" spans="1:4">
      <c r="A97" s="8">
        <v>5</v>
      </c>
      <c r="B97" s="4">
        <f t="shared" si="22"/>
        <v>523.03424071658844</v>
      </c>
      <c r="C97" s="2">
        <f t="shared" si="23"/>
        <v>1378.8592592592593</v>
      </c>
      <c r="D97" s="9">
        <f t="shared" si="24"/>
        <v>261.01712035829422</v>
      </c>
    </row>
    <row r="98" spans="1:4">
      <c r="A98" s="8">
        <v>6</v>
      </c>
      <c r="B98" s="4">
        <f t="shared" si="22"/>
        <v>520.78232419944288</v>
      </c>
      <c r="C98" s="2">
        <f t="shared" si="23"/>
        <v>1711.9703703703703</v>
      </c>
      <c r="D98" s="9">
        <f t="shared" si="24"/>
        <v>259.89116209972144</v>
      </c>
    </row>
    <row r="99" spans="1:4">
      <c r="A99" s="8">
        <v>7</v>
      </c>
      <c r="B99" s="4">
        <f t="shared" si="22"/>
        <v>518.69491299707329</v>
      </c>
      <c r="C99" s="2">
        <f t="shared" si="23"/>
        <v>2061.7370370370372</v>
      </c>
      <c r="D99" s="9">
        <f t="shared" si="24"/>
        <v>258.84745649853664</v>
      </c>
    </row>
    <row r="100" spans="1:4">
      <c r="A100" s="8">
        <v>8</v>
      </c>
      <c r="B100" s="4">
        <f t="shared" si="22"/>
        <v>516.75998979072767</v>
      </c>
      <c r="C100" s="2">
        <f t="shared" si="23"/>
        <v>2428.1592592592597</v>
      </c>
      <c r="D100" s="9">
        <f t="shared" si="24"/>
        <v>257.87999489536384</v>
      </c>
    </row>
    <row r="101" spans="1:4">
      <c r="A101" s="8">
        <v>9</v>
      </c>
      <c r="B101" s="4">
        <f t="shared" si="22"/>
        <v>514.96641514180158</v>
      </c>
      <c r="C101" s="2">
        <f t="shared" si="23"/>
        <v>2811.2370370370372</v>
      </c>
      <c r="D101" s="9">
        <f t="shared" si="24"/>
        <v>256.98320757090079</v>
      </c>
    </row>
    <row r="102" spans="1:4">
      <c r="A102" s="8">
        <v>10</v>
      </c>
      <c r="B102" s="4">
        <f t="shared" si="22"/>
        <v>513.30386336159609</v>
      </c>
      <c r="C102" s="2">
        <f t="shared" si="23"/>
        <v>3210.9703703703708</v>
      </c>
      <c r="D102" s="9">
        <f t="shared" si="24"/>
        <v>256.15193168079804</v>
      </c>
    </row>
    <row r="103" spans="1:4">
      <c r="A103" s="8">
        <v>11</v>
      </c>
      <c r="B103" s="4">
        <f t="shared" si="22"/>
        <v>511.76276306587141</v>
      </c>
      <c r="C103" s="2">
        <f t="shared" si="23"/>
        <v>3627.3592592592595</v>
      </c>
      <c r="D103" s="9">
        <f t="shared" si="24"/>
        <v>255.38138153293571</v>
      </c>
    </row>
    <row r="104" spans="1:4">
      <c r="A104" s="8">
        <v>12</v>
      </c>
      <c r="B104" s="4">
        <f t="shared" si="22"/>
        <v>510.33424207196344</v>
      </c>
      <c r="C104" s="2">
        <f t="shared" si="23"/>
        <v>4054.8518518518522</v>
      </c>
      <c r="D104" s="9">
        <f t="shared" si="24"/>
        <v>254.66712103598172</v>
      </c>
    </row>
    <row r="105" spans="1:4">
      <c r="A105" s="8">
        <v>13</v>
      </c>
      <c r="B105" s="4">
        <f t="shared" si="22"/>
        <v>509.0100763212352</v>
      </c>
      <c r="C105" s="2">
        <f t="shared" si="23"/>
        <v>4487.8962962962969</v>
      </c>
      <c r="D105" s="9">
        <f t="shared" si="24"/>
        <v>254.0050381606176</v>
      </c>
    </row>
    <row r="106" spans="1:4">
      <c r="A106" s="8">
        <v>14</v>
      </c>
      <c r="B106" s="4">
        <f t="shared" si="22"/>
        <v>507.7826425328069</v>
      </c>
      <c r="C106" s="2">
        <f t="shared" si="23"/>
        <v>4926.4925925925936</v>
      </c>
      <c r="D106" s="9">
        <f t="shared" si="24"/>
        <v>253.39132126640345</v>
      </c>
    </row>
    <row r="107" spans="1:4">
      <c r="A107" s="8">
        <v>15</v>
      </c>
      <c r="B107" s="4">
        <f t="shared" si="22"/>
        <v>506.64487431599053</v>
      </c>
      <c r="C107" s="2">
        <f t="shared" si="23"/>
        <v>5370.6407407407414</v>
      </c>
      <c r="D107" s="9">
        <f t="shared" si="24"/>
        <v>252.82243715799527</v>
      </c>
    </row>
    <row r="108" spans="1:4">
      <c r="A108" s="8">
        <v>16</v>
      </c>
      <c r="B108" s="4">
        <f t="shared" si="22"/>
        <v>505.59022148876551</v>
      </c>
      <c r="C108" s="2">
        <f t="shared" si="23"/>
        <v>5814.7888888888892</v>
      </c>
      <c r="D108" s="9">
        <f t="shared" si="24"/>
        <v>252.29511074438275</v>
      </c>
    </row>
    <row r="109" spans="1:4">
      <c r="A109" s="8">
        <v>17</v>
      </c>
      <c r="B109" s="4">
        <f t="shared" si="22"/>
        <v>504.61261236809042</v>
      </c>
      <c r="C109" s="2">
        <f t="shared" si="23"/>
        <v>6258.937037037037</v>
      </c>
      <c r="D109" s="9">
        <f t="shared" si="24"/>
        <v>251.80630618404521</v>
      </c>
    </row>
    <row r="110" spans="1:4">
      <c r="A110" s="8">
        <v>18</v>
      </c>
      <c r="B110" s="4">
        <f t="shared" si="22"/>
        <v>503.70641881495538</v>
      </c>
      <c r="C110" s="2">
        <f t="shared" si="23"/>
        <v>6703.0851851851849</v>
      </c>
      <c r="D110" s="9">
        <f t="shared" si="24"/>
        <v>251.35320940747769</v>
      </c>
    </row>
    <row r="111" spans="1:4">
      <c r="A111" s="8">
        <v>19</v>
      </c>
      <c r="B111" s="4">
        <f t="shared" si="22"/>
        <v>502.86642383293588</v>
      </c>
      <c r="C111" s="2">
        <f t="shared" si="23"/>
        <v>7147.2333333333327</v>
      </c>
      <c r="D111" s="9">
        <f t="shared" si="24"/>
        <v>250.93321191646794</v>
      </c>
    </row>
    <row r="112" spans="1:4">
      <c r="A112" s="8">
        <v>20</v>
      </c>
      <c r="B112" s="4">
        <f t="shared" si="22"/>
        <v>502.08779153371358</v>
      </c>
      <c r="C112" s="2">
        <f t="shared" si="23"/>
        <v>7591.3814814814805</v>
      </c>
      <c r="D112" s="9">
        <f t="shared" si="24"/>
        <v>250.54389576685679</v>
      </c>
    </row>
    <row r="113" spans="1:4">
      <c r="A113" s="8">
        <v>21</v>
      </c>
      <c r="B113" s="4">
        <f t="shared" si="22"/>
        <v>501.36603929665301</v>
      </c>
      <c r="C113" s="2">
        <f t="shared" si="23"/>
        <v>8035.5296296296283</v>
      </c>
      <c r="D113" s="9">
        <f t="shared" si="24"/>
        <v>250.18301964832651</v>
      </c>
    </row>
    <row r="114" spans="1:4">
      <c r="A114" s="8">
        <v>22</v>
      </c>
      <c r="B114" s="4">
        <f t="shared" si="22"/>
        <v>500.69701196215624</v>
      </c>
      <c r="C114" s="2">
        <f t="shared" si="23"/>
        <v>8479.677777777777</v>
      </c>
      <c r="D114" s="9">
        <f t="shared" si="24"/>
        <v>249.84850598107812</v>
      </c>
    </row>
    <row r="115" spans="1:4">
      <c r="A115" s="8">
        <v>23</v>
      </c>
      <c r="B115" s="4">
        <f t="shared" si="22"/>
        <v>500.07685791022431</v>
      </c>
      <c r="C115" s="2">
        <f t="shared" si="23"/>
        <v>8923.8259259259248</v>
      </c>
      <c r="D115" s="9">
        <f t="shared" si="24"/>
        <v>249.53842895511215</v>
      </c>
    </row>
    <row r="116" spans="1:4">
      <c r="A116" s="8">
        <v>24</v>
      </c>
      <c r="B116" s="4">
        <f t="shared" si="22"/>
        <v>499.50200688651131</v>
      </c>
      <c r="C116" s="2">
        <f t="shared" si="23"/>
        <v>9367.9740740740726</v>
      </c>
      <c r="D116" s="9">
        <f t="shared" si="24"/>
        <v>249.25100344325566</v>
      </c>
    </row>
    <row r="117" spans="1:4">
      <c r="A117" s="8">
        <v>25</v>
      </c>
      <c r="B117" s="4">
        <f t="shared" si="22"/>
        <v>498.96914944821106</v>
      </c>
      <c r="C117" s="2">
        <f t="shared" si="23"/>
        <v>9812.1222222222204</v>
      </c>
      <c r="D117" s="9">
        <f t="shared" si="24"/>
        <v>248.98457472410553</v>
      </c>
    </row>
    <row r="118" spans="1:4">
      <c r="A118" s="8">
        <v>26</v>
      </c>
      <c r="B118" s="4">
        <f t="shared" si="22"/>
        <v>498.47521791144891</v>
      </c>
      <c r="C118" s="2">
        <f t="shared" si="23"/>
        <v>10256.270370370368</v>
      </c>
      <c r="D118" s="9">
        <f t="shared" si="24"/>
        <v>248.73760895572445</v>
      </c>
    </row>
    <row r="119" spans="1:4">
      <c r="A119" s="8">
        <v>27</v>
      </c>
      <c r="B119" s="4">
        <f t="shared" si="22"/>
        <v>498.01736869048938</v>
      </c>
      <c r="C119" s="2">
        <f t="shared" si="23"/>
        <v>10700.418518518516</v>
      </c>
      <c r="D119" s="9">
        <f t="shared" si="24"/>
        <v>248.50868434524469</v>
      </c>
    </row>
    <row r="120" spans="1:4">
      <c r="A120" s="8">
        <v>28</v>
      </c>
      <c r="B120" s="4">
        <f t="shared" si="22"/>
        <v>497.59296592708745</v>
      </c>
      <c r="C120" s="2">
        <f t="shared" si="23"/>
        <v>11144.566666666664</v>
      </c>
      <c r="D120" s="9">
        <f t="shared" si="24"/>
        <v>248.29648296354372</v>
      </c>
    </row>
    <row r="121" spans="1:4">
      <c r="A121" s="8">
        <v>29</v>
      </c>
      <c r="B121" s="4">
        <f t="shared" si="22"/>
        <v>497.19956631573569</v>
      </c>
      <c r="C121" s="2">
        <f t="shared" si="23"/>
        <v>11588.714814814812</v>
      </c>
      <c r="D121" s="9">
        <f t="shared" si="24"/>
        <v>248.09978315786785</v>
      </c>
    </row>
    <row r="122" spans="1:4">
      <c r="A122" s="8">
        <v>30</v>
      </c>
      <c r="B122" s="4">
        <f t="shared" si="22"/>
        <v>496.83490503744622</v>
      </c>
      <c r="C122" s="2">
        <f t="shared" si="23"/>
        <v>12032.86296296296</v>
      </c>
      <c r="D122" s="9">
        <f t="shared" si="24"/>
        <v>247.91745251872311</v>
      </c>
    </row>
    <row r="123" spans="1:4">
      <c r="A123" s="8">
        <v>31</v>
      </c>
      <c r="B123" s="4">
        <f t="shared" si="22"/>
        <v>496.49688272108756</v>
      </c>
      <c r="C123" s="2">
        <f t="shared" si="23"/>
        <v>12477.011111111107</v>
      </c>
      <c r="D123" s="9">
        <f t="shared" si="24"/>
        <v>247.74844136054378</v>
      </c>
    </row>
    <row r="124" spans="1:4">
      <c r="A124" s="8">
        <v>32</v>
      </c>
      <c r="B124" s="4">
        <f t="shared" si="22"/>
        <v>496.18355335721202</v>
      </c>
      <c r="C124" s="2">
        <f t="shared" si="23"/>
        <v>12921.159259259255</v>
      </c>
      <c r="D124" s="9">
        <f t="shared" si="24"/>
        <v>247.59177667860601</v>
      </c>
    </row>
    <row r="125" spans="1:4">
      <c r="A125" s="8">
        <v>33</v>
      </c>
      <c r="B125" s="4">
        <f t="shared" ref="B125:B142" si="25">B58</f>
        <v>495.89311309479325</v>
      </c>
      <c r="C125" s="2">
        <f t="shared" ref="C125:C142" si="26">C124+C58</f>
        <v>13365.307407407403</v>
      </c>
      <c r="D125" s="9">
        <f t="shared" ref="D125:D142" si="27">J58</f>
        <v>247.44655654739663</v>
      </c>
    </row>
    <row r="126" spans="1:4">
      <c r="A126" s="8">
        <v>34</v>
      </c>
      <c r="B126" s="4">
        <f t="shared" si="25"/>
        <v>495.62388985637557</v>
      </c>
      <c r="C126" s="2">
        <f t="shared" si="26"/>
        <v>13809.455555555551</v>
      </c>
      <c r="D126" s="9">
        <f t="shared" si="27"/>
        <v>247.31194492818778</v>
      </c>
    </row>
    <row r="127" spans="1:4">
      <c r="A127" s="8">
        <v>35</v>
      </c>
      <c r="B127" s="4">
        <f t="shared" si="25"/>
        <v>495.37433371185051</v>
      </c>
      <c r="C127" s="2">
        <f t="shared" si="26"/>
        <v>14253.603703703699</v>
      </c>
      <c r="D127" s="9">
        <f t="shared" si="27"/>
        <v>247.18716685592526</v>
      </c>
    </row>
    <row r="128" spans="1:4">
      <c r="A128" s="8">
        <v>36</v>
      </c>
      <c r="B128" s="4">
        <f t="shared" si="25"/>
        <v>495.14300795544005</v>
      </c>
      <c r="C128" s="2">
        <f t="shared" si="26"/>
        <v>14697.751851851846</v>
      </c>
      <c r="D128" s="9">
        <f t="shared" si="27"/>
        <v>247.07150397772003</v>
      </c>
    </row>
    <row r="129" spans="1:4">
      <c r="A129" s="8">
        <v>37</v>
      </c>
      <c r="B129" s="4">
        <f t="shared" si="25"/>
        <v>494.9285808345183</v>
      </c>
      <c r="C129" s="2">
        <f t="shared" si="26"/>
        <v>15141.899999999994</v>
      </c>
      <c r="D129" s="9">
        <f t="shared" si="27"/>
        <v>246.96429041725915</v>
      </c>
    </row>
    <row r="130" spans="1:4">
      <c r="A130" s="8">
        <v>38</v>
      </c>
      <c r="B130" s="4">
        <f t="shared" si="25"/>
        <v>494.72981788265218</v>
      </c>
      <c r="C130" s="2">
        <f t="shared" si="26"/>
        <v>15586.048148148142</v>
      </c>
      <c r="D130" s="9">
        <f t="shared" si="27"/>
        <v>246.86490894132609</v>
      </c>
    </row>
    <row r="131" spans="1:4">
      <c r="A131" s="8">
        <v>39</v>
      </c>
      <c r="B131" s="4">
        <f t="shared" si="25"/>
        <v>494.54557481272377</v>
      </c>
      <c r="C131" s="2">
        <f t="shared" si="26"/>
        <v>16030.19629629629</v>
      </c>
      <c r="D131" s="9">
        <f t="shared" si="27"/>
        <v>246.77278740636189</v>
      </c>
    </row>
    <row r="132" spans="1:4">
      <c r="A132" s="8">
        <v>40</v>
      </c>
      <c r="B132" s="4">
        <f t="shared" si="25"/>
        <v>494.37479092921865</v>
      </c>
      <c r="C132" s="2">
        <f t="shared" si="26"/>
        <v>16474.344444444439</v>
      </c>
      <c r="D132" s="9">
        <f t="shared" si="27"/>
        <v>246.68739546460932</v>
      </c>
    </row>
    <row r="133" spans="1:4">
      <c r="A133" s="8">
        <v>41</v>
      </c>
      <c r="B133" s="4">
        <f t="shared" si="25"/>
        <v>494.21648302175464</v>
      </c>
      <c r="C133" s="2">
        <f t="shared" si="26"/>
        <v>16918.492592592589</v>
      </c>
      <c r="D133" s="9">
        <f t="shared" si="27"/>
        <v>246.60824151087732</v>
      </c>
    </row>
    <row r="134" spans="1:4">
      <c r="A134" s="8">
        <v>42</v>
      </c>
      <c r="B134" s="4">
        <f t="shared" si="25"/>
        <v>494.06973970469659</v>
      </c>
      <c r="C134" s="2">
        <f t="shared" si="26"/>
        <v>17362.640740740739</v>
      </c>
      <c r="D134" s="9">
        <f t="shared" si="27"/>
        <v>246.53486985234829</v>
      </c>
    </row>
    <row r="135" spans="1:4">
      <c r="A135" s="8">
        <v>43</v>
      </c>
      <c r="B135" s="4">
        <f t="shared" si="25"/>
        <v>493.9337161702681</v>
      </c>
      <c r="C135" s="2">
        <f t="shared" si="26"/>
        <v>17806.788888888888</v>
      </c>
      <c r="D135" s="9">
        <f t="shared" si="27"/>
        <v>246.46685808513405</v>
      </c>
    </row>
    <row r="136" spans="1:4">
      <c r="A136" s="8">
        <v>44</v>
      </c>
      <c r="B136" s="4">
        <f t="shared" si="25"/>
        <v>493.80762932495651</v>
      </c>
      <c r="C136" s="2">
        <f t="shared" si="26"/>
        <v>18250.937037037038</v>
      </c>
      <c r="D136" s="9">
        <f t="shared" si="27"/>
        <v>246.40381466247825</v>
      </c>
    </row>
    <row r="137" spans="1:4">
      <c r="A137" s="8">
        <v>45</v>
      </c>
      <c r="B137" s="4">
        <f t="shared" si="25"/>
        <v>493.69075328120852</v>
      </c>
      <c r="C137" s="2">
        <f t="shared" si="26"/>
        <v>18695.085185185188</v>
      </c>
      <c r="D137" s="9">
        <f t="shared" si="27"/>
        <v>246.34537664060426</v>
      </c>
    </row>
    <row r="138" spans="1:4">
      <c r="A138" s="8">
        <v>46</v>
      </c>
      <c r="B138" s="4">
        <f t="shared" si="25"/>
        <v>493.58241517846324</v>
      </c>
      <c r="C138" s="2">
        <f t="shared" si="26"/>
        <v>19139.233333333337</v>
      </c>
      <c r="D138" s="9">
        <f t="shared" si="27"/>
        <v>246.29120758923162</v>
      </c>
    </row>
    <row r="139" spans="1:4">
      <c r="A139" s="8">
        <v>47</v>
      </c>
      <c r="B139" s="4">
        <f t="shared" si="25"/>
        <v>493.48199130946455</v>
      </c>
      <c r="C139" s="2">
        <f t="shared" si="26"/>
        <v>19583.381481481487</v>
      </c>
      <c r="D139" s="9">
        <f t="shared" si="27"/>
        <v>246.24099565473227</v>
      </c>
    </row>
    <row r="140" spans="1:4">
      <c r="A140" s="8">
        <v>48</v>
      </c>
      <c r="B140" s="4">
        <f t="shared" si="25"/>
        <v>493.38890352955036</v>
      </c>
      <c r="C140" s="2">
        <f t="shared" si="26"/>
        <v>20027.529629629636</v>
      </c>
      <c r="D140" s="9">
        <f t="shared" si="27"/>
        <v>246.19445176477518</v>
      </c>
    </row>
    <row r="141" spans="1:4">
      <c r="A141" s="8">
        <v>49</v>
      </c>
      <c r="B141" s="4">
        <f t="shared" si="25"/>
        <v>493.30261592824843</v>
      </c>
      <c r="C141" s="2">
        <f t="shared" si="26"/>
        <v>20471.677777777786</v>
      </c>
      <c r="D141" s="9">
        <f t="shared" si="27"/>
        <v>246.15130796412421</v>
      </c>
    </row>
    <row r="142" spans="1:4">
      <c r="A142" s="8">
        <v>50</v>
      </c>
      <c r="B142" s="4">
        <f t="shared" si="25"/>
        <v>493.2226317440161</v>
      </c>
      <c r="C142" s="2">
        <f t="shared" si="26"/>
        <v>20915.825925925936</v>
      </c>
      <c r="D142" s="9">
        <f t="shared" si="27"/>
        <v>246.11131587200805</v>
      </c>
    </row>
    <row r="143" spans="1:4">
      <c r="C143" s="2"/>
    </row>
    <row r="144" spans="1:4">
      <c r="C144" s="2"/>
    </row>
    <row r="145" spans="3:3">
      <c r="C145" s="2"/>
    </row>
    <row r="146" spans="3:3">
      <c r="C146" s="2"/>
    </row>
    <row r="147" spans="3:3">
      <c r="C147" s="2"/>
    </row>
  </sheetData>
  <phoneticPr fontId="0" type="noConversion"/>
  <printOptions gridLines="1" gridLinesSet="0"/>
  <pageMargins left="0.75" right="0.75" top="1" bottom="1" header="0.5" footer="0.5"/>
  <pageSetup paperSize="9" orientation="portrait" horizontalDpi="180" verticalDpi="180" r:id="rId1"/>
  <headerFooter alignWithMargins="0">
    <oddHeader>&amp;F</oddHeader>
    <oddFooter>Page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DL6WU - v3</vt:lpstr>
      <vt:lpstr>DL6WU-2</vt:lpstr>
      <vt:lpstr>'DL6WU-2'!Área_de_impresión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</dc:creator>
  <cp:lastModifiedBy>juan</cp:lastModifiedBy>
  <cp:lastPrinted>2002-03-30T03:59:10Z</cp:lastPrinted>
  <dcterms:created xsi:type="dcterms:W3CDTF">1995-12-18T21:19:02Z</dcterms:created>
  <dcterms:modified xsi:type="dcterms:W3CDTF">2014-05-05T20:35:19Z</dcterms:modified>
</cp:coreProperties>
</file>